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30" windowHeight="8700" activeTab="1"/>
  </bookViews>
  <sheets>
    <sheet name="type 1" sheetId="1" r:id="rId1"/>
    <sheet name="type 2" sheetId="2" r:id="rId2"/>
    <sheet name="type 2b" sheetId="3" r:id="rId3"/>
    <sheet name="type3" sheetId="4" r:id="rId4"/>
  </sheets>
  <definedNames/>
  <calcPr fullCalcOnLoad="1"/>
</workbook>
</file>

<file path=xl/sharedStrings.xml><?xml version="1.0" encoding="utf-8"?>
<sst xmlns="http://schemas.openxmlformats.org/spreadsheetml/2006/main" count="1410" uniqueCount="333">
  <si>
    <t>Chemical properties</t>
  </si>
  <si>
    <t>Name -</t>
  </si>
  <si>
    <t>Molar mass g/mol</t>
  </si>
  <si>
    <t>Data temp C</t>
  </si>
  <si>
    <t>Data temp K</t>
  </si>
  <si>
    <t>273.15+b3</t>
  </si>
  <si>
    <t>Water solubilty g/m3</t>
  </si>
  <si>
    <t>Water solubilty mol/m3</t>
  </si>
  <si>
    <t>Log Kow</t>
  </si>
  <si>
    <t>Kow</t>
  </si>
  <si>
    <t>10^b9</t>
  </si>
  <si>
    <t>Koc</t>
  </si>
  <si>
    <t>0.41*b10</t>
  </si>
  <si>
    <t>Environmental Properties</t>
  </si>
  <si>
    <t>Air</t>
  </si>
  <si>
    <t>aerosol</t>
  </si>
  <si>
    <t>water</t>
  </si>
  <si>
    <t>Suspended Particles</t>
  </si>
  <si>
    <t>Sediment</t>
  </si>
  <si>
    <t>Aerosol</t>
  </si>
  <si>
    <t>Water</t>
  </si>
  <si>
    <t>Reaction Half Lifes</t>
  </si>
  <si>
    <t>Hours</t>
  </si>
  <si>
    <t>S.P.</t>
  </si>
  <si>
    <t xml:space="preserve">Advective Flow Residence Time </t>
  </si>
  <si>
    <t>Sediment (burial)</t>
  </si>
  <si>
    <t xml:space="preserve">Volume </t>
  </si>
  <si>
    <r>
      <t>m</t>
    </r>
    <r>
      <rPr>
        <b/>
        <vertAlign val="superscript"/>
        <sz val="10"/>
        <rFont val="Arial"/>
        <family val="2"/>
      </rPr>
      <t>3</t>
    </r>
  </si>
  <si>
    <r>
      <t>kg/m</t>
    </r>
    <r>
      <rPr>
        <b/>
        <vertAlign val="superscript"/>
        <sz val="10"/>
        <rFont val="Arial"/>
        <family val="2"/>
      </rPr>
      <t>3</t>
    </r>
  </si>
  <si>
    <t xml:space="preserve">Density </t>
  </si>
  <si>
    <t xml:space="preserve">Organic Carbon </t>
  </si>
  <si>
    <t>g/g</t>
  </si>
  <si>
    <t>Emissions And Outflows</t>
  </si>
  <si>
    <t>Advective Inflow Concentrations</t>
  </si>
  <si>
    <t>Concentration Water (ng/L)</t>
  </si>
  <si>
    <r>
      <t>Concentration Air (ng/m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</si>
  <si>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Advective Flow Rates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</si>
  <si>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</si>
  <si>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t>b23/b30</t>
  </si>
  <si>
    <t>b25/b31</t>
  </si>
  <si>
    <t>b27/b32</t>
  </si>
  <si>
    <t>b26/b31</t>
  </si>
  <si>
    <t>b24/b30</t>
  </si>
  <si>
    <r>
      <t>Kg/m</t>
    </r>
    <r>
      <rPr>
        <b/>
        <vertAlign val="superscript"/>
        <sz val="10"/>
        <rFont val="Arial"/>
        <family val="2"/>
      </rPr>
      <t>3</t>
    </r>
  </si>
  <si>
    <r>
      <t>mol/m</t>
    </r>
    <r>
      <rPr>
        <b/>
        <vertAlign val="superscript"/>
        <sz val="10"/>
        <rFont val="Arial"/>
        <family val="2"/>
      </rPr>
      <t>3</t>
    </r>
  </si>
  <si>
    <t>Advection Inflow Concentration M</t>
  </si>
  <si>
    <t>Advection Inflow Concentration K</t>
  </si>
  <si>
    <t>(b48*10^-9)/b2</t>
  </si>
  <si>
    <t>(e9*b2)/1000</t>
  </si>
  <si>
    <t>(e10*b2)/1000</t>
  </si>
  <si>
    <t>mol/h</t>
  </si>
  <si>
    <t>e2*e9</t>
  </si>
  <si>
    <t>e3*e10</t>
  </si>
  <si>
    <t>Soil</t>
  </si>
  <si>
    <t>(e17*b2)/1000</t>
  </si>
  <si>
    <t>(e18*b2)/1000</t>
  </si>
  <si>
    <t>Kg/h</t>
  </si>
  <si>
    <t>Inflow Rate M</t>
  </si>
  <si>
    <t>Total System Chemical Input M mol/h</t>
  </si>
  <si>
    <t>Emission Rate K (Kg/h)</t>
  </si>
  <si>
    <t>Emission Rate M (mol/h)</t>
  </si>
  <si>
    <t>(b46*1000)/b2</t>
  </si>
  <si>
    <t>Inflow Rate K</t>
  </si>
  <si>
    <t>Total System Chemical Input K Kg/h</t>
  </si>
  <si>
    <t>b47+e17+e18</t>
  </si>
  <si>
    <t>b46+e23+e24</t>
  </si>
  <si>
    <t>Advection, reaction, D values</t>
  </si>
  <si>
    <t>React rate constant</t>
  </si>
  <si>
    <t>LN2/b14</t>
  </si>
  <si>
    <t>Z Values</t>
  </si>
  <si>
    <t>VZ</t>
  </si>
  <si>
    <r>
      <t>mol/m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.Pa</t>
    </r>
  </si>
  <si>
    <t>mol/Pa</t>
  </si>
  <si>
    <t>1/(8.31451*b4)</t>
  </si>
  <si>
    <t>S. Particles</t>
  </si>
  <si>
    <t>Sum VZ</t>
  </si>
  <si>
    <t>sum(f33:f37)</t>
  </si>
  <si>
    <t>b23*e33</t>
  </si>
  <si>
    <t>b26*e36</t>
  </si>
  <si>
    <t>b24*e37</t>
  </si>
  <si>
    <t>b25*e34</t>
  </si>
  <si>
    <t>b27*e35</t>
  </si>
  <si>
    <t>D reaction air</t>
  </si>
  <si>
    <t>D advection air</t>
  </si>
  <si>
    <t>b23*e33*h3</t>
  </si>
  <si>
    <t>e2*e33</t>
  </si>
  <si>
    <t>D reaction water</t>
  </si>
  <si>
    <t>D advection water</t>
  </si>
  <si>
    <t>b25*e34*h7</t>
  </si>
  <si>
    <t>D reaction Sediment</t>
  </si>
  <si>
    <t>D advection Sediment</t>
  </si>
  <si>
    <t>b27*e35*h11</t>
  </si>
  <si>
    <t>e3*e34</t>
  </si>
  <si>
    <t>e4*e35</t>
  </si>
  <si>
    <t>S.P</t>
  </si>
  <si>
    <t>D reaction S.P</t>
  </si>
  <si>
    <t>D advection S.P</t>
  </si>
  <si>
    <t>LN2/b16</t>
  </si>
  <si>
    <t>LN2/b18</t>
  </si>
  <si>
    <t>LN2/b17</t>
  </si>
  <si>
    <t>b26*e36*h15</t>
  </si>
  <si>
    <t>e5*e36</t>
  </si>
  <si>
    <t>LN2/b15</t>
  </si>
  <si>
    <t>b24*e37*h19</t>
  </si>
  <si>
    <t>e6*e37</t>
  </si>
  <si>
    <t>D reaction total</t>
  </si>
  <si>
    <t>D advection total</t>
  </si>
  <si>
    <t>D value total</t>
  </si>
  <si>
    <t>h4+h8+h12+h16+h20</t>
  </si>
  <si>
    <t>h5+h9+h13+h17+h21</t>
  </si>
  <si>
    <t>h23+h24</t>
  </si>
  <si>
    <t>D reaction aerosol</t>
  </si>
  <si>
    <t>D advection aerosol</t>
  </si>
  <si>
    <t>Fugacity</t>
  </si>
  <si>
    <t>e28/h25</t>
  </si>
  <si>
    <t>Phase properties and composition</t>
  </si>
  <si>
    <t>Amount (kg)</t>
  </si>
  <si>
    <r>
      <t>Concentration (mol/m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</si>
  <si>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Amount (mol)</t>
  </si>
  <si>
    <t>h26*e33</t>
  </si>
  <si>
    <t>(k4*b2)/1000</t>
  </si>
  <si>
    <t>Concentration (g/m3)</t>
  </si>
  <si>
    <t>k3*b2</t>
  </si>
  <si>
    <t>h26*e34</t>
  </si>
  <si>
    <t>k8*b25</t>
  </si>
  <si>
    <t>k9*b2</t>
  </si>
  <si>
    <t>k3*b23</t>
  </si>
  <si>
    <t>(k9*b2)/1000</t>
  </si>
  <si>
    <t>h26*e35</t>
  </si>
  <si>
    <t>k13*b27</t>
  </si>
  <si>
    <t>(k14*b2)/1000</t>
  </si>
  <si>
    <t>k13*b2</t>
  </si>
  <si>
    <t>h26*e36</t>
  </si>
  <si>
    <t>k18*b26</t>
  </si>
  <si>
    <t>(k19*b2)/1000</t>
  </si>
  <si>
    <t>k18*b2</t>
  </si>
  <si>
    <t>h26*e37</t>
  </si>
  <si>
    <t>k23*b24</t>
  </si>
  <si>
    <t>(k24*b2)/1000</t>
  </si>
  <si>
    <t>k23*b2</t>
  </si>
  <si>
    <t>Total amount in system (moles)</t>
  </si>
  <si>
    <t>k4+k9+14+k19+k24</t>
  </si>
  <si>
    <r>
      <t>Concentration Air ng/m</t>
    </r>
    <r>
      <rPr>
        <b/>
        <vertAlign val="superscript"/>
        <sz val="10"/>
        <rFont val="Arial"/>
        <family val="2"/>
      </rPr>
      <t>3</t>
    </r>
  </si>
  <si>
    <t>Concentration Water ng/L</t>
  </si>
  <si>
    <t>Concentration Sediment ng/g</t>
  </si>
  <si>
    <t>Concentration S.P. ng/g</t>
  </si>
  <si>
    <t>Concentration Aerosol ng/g</t>
  </si>
  <si>
    <t>k6*10^9</t>
  </si>
  <si>
    <t>k11*10^6</t>
  </si>
  <si>
    <t>(k16*10^6)/b39</t>
  </si>
  <si>
    <t>(k21*10^6)/b38</t>
  </si>
  <si>
    <t>(k26*10^6)/b36</t>
  </si>
  <si>
    <t>b23*k3*h3</t>
  </si>
  <si>
    <t>(k36*b2)/1000</t>
  </si>
  <si>
    <t>e2*k3</t>
  </si>
  <si>
    <t>(k38*b2)/1000</t>
  </si>
  <si>
    <t>b25*k8*h7</t>
  </si>
  <si>
    <t>(k41*b2)/1000</t>
  </si>
  <si>
    <t>e3*k8</t>
  </si>
  <si>
    <t>(k43*b2)/1000</t>
  </si>
  <si>
    <t>b27*k13*h11</t>
  </si>
  <si>
    <t>(k46*b2)/1000</t>
  </si>
  <si>
    <t>e4*k13</t>
  </si>
  <si>
    <t>(k48*b2)/1000</t>
  </si>
  <si>
    <t>b26*k18*h15</t>
  </si>
  <si>
    <t>(k51*b2)/1000</t>
  </si>
  <si>
    <t>e5*k18</t>
  </si>
  <si>
    <t>(k53*b2)/1000</t>
  </si>
  <si>
    <t>b24*k23*h19</t>
  </si>
  <si>
    <t>(k52*b2)/1000</t>
  </si>
  <si>
    <t>(k58*b2)/1000</t>
  </si>
  <si>
    <t>e6*k23</t>
  </si>
  <si>
    <t>Loss reaction M mol/h</t>
  </si>
  <si>
    <t>Loss reaction K kg/h</t>
  </si>
  <si>
    <t>Loss advection M mol/h</t>
  </si>
  <si>
    <t>Loss advection K kg/h</t>
  </si>
  <si>
    <t>Total Outloss Reaction M mol/h</t>
  </si>
  <si>
    <t>Total Outloss Advection M mol/h</t>
  </si>
  <si>
    <t>Total Outloss Reaction K kg/h</t>
  </si>
  <si>
    <t>Total Outloss Advection K kgl/h</t>
  </si>
  <si>
    <t>k36+k41+k46+k51+k56</t>
  </si>
  <si>
    <t>k38+k43+k48+k53+k58</t>
  </si>
  <si>
    <t>k37+k42+k47+k52+k57</t>
  </si>
  <si>
    <t>Total Outloss M mol/h</t>
  </si>
  <si>
    <t>k39+k44+k49+k54+k59</t>
  </si>
  <si>
    <t>k61+k62</t>
  </si>
  <si>
    <t>Total Outloss K kg/h</t>
  </si>
  <si>
    <t>k63+k64</t>
  </si>
  <si>
    <t>100*(k4/k27)</t>
  </si>
  <si>
    <t>100*(k9/k27)</t>
  </si>
  <si>
    <t>100*(k14*/k27)</t>
  </si>
  <si>
    <t>100*(k19*k27)</t>
  </si>
  <si>
    <t>100*(k24*k27)</t>
  </si>
  <si>
    <t>Percentage in Air</t>
  </si>
  <si>
    <t>Percentage in Sediment</t>
  </si>
  <si>
    <t>Percentage in S.P.</t>
  </si>
  <si>
    <t>Percentage in Aerosol</t>
  </si>
  <si>
    <t>Percentage Chemical</t>
  </si>
  <si>
    <t>Percentage in Water</t>
  </si>
  <si>
    <t>Percentage Reaction and Advection loss</t>
  </si>
  <si>
    <t>% loss Reaction</t>
  </si>
  <si>
    <t>% loss advection</t>
  </si>
  <si>
    <t>(100*k36)/k61</t>
  </si>
  <si>
    <t>(100*k38/k62</t>
  </si>
  <si>
    <t>(100*k41)/k61</t>
  </si>
  <si>
    <t>(100*k43)/k62</t>
  </si>
  <si>
    <t>(100*k46)/k61</t>
  </si>
  <si>
    <t>(100*k48)/k62</t>
  </si>
  <si>
    <t>(100*k51)/k61</t>
  </si>
  <si>
    <t>(100*k53)/k62</t>
  </si>
  <si>
    <t>(100*k58)/k62</t>
  </si>
  <si>
    <t>(100*k56)/k61</t>
  </si>
  <si>
    <t>Residence Time For System</t>
  </si>
  <si>
    <t xml:space="preserve">Reaction </t>
  </si>
  <si>
    <t xml:space="preserve">Advection </t>
  </si>
  <si>
    <t>Total</t>
  </si>
  <si>
    <t>k27/k61</t>
  </si>
  <si>
    <t>k27/k62</t>
  </si>
  <si>
    <t>k27/k65</t>
  </si>
  <si>
    <t>Days</t>
  </si>
  <si>
    <t>(k27/k61)/24</t>
  </si>
  <si>
    <t>(k27/k62)/24</t>
  </si>
  <si>
    <t>(k27/k65)/24</t>
  </si>
  <si>
    <t>Fugacity Ratio</t>
  </si>
  <si>
    <t>Liquid Vap Pressure Pa</t>
  </si>
  <si>
    <t>(e33*6000000)/b53</t>
  </si>
  <si>
    <t>b7/b52</t>
  </si>
  <si>
    <t>Melting point deg K</t>
  </si>
  <si>
    <t>EXP(6.79*(1-b8))/b4</t>
  </si>
  <si>
    <t>b15*e3</t>
  </si>
  <si>
    <t>b17*e4</t>
  </si>
  <si>
    <t>b37*(b26/1000)</t>
  </si>
  <si>
    <t>b19*e5</t>
  </si>
  <si>
    <t>b38*(b25/1000)</t>
  </si>
  <si>
    <t>b18*e6</t>
  </si>
  <si>
    <t>b16*e7</t>
  </si>
  <si>
    <t>sum(f3:f7)</t>
  </si>
  <si>
    <t>Aquivalence</t>
  </si>
  <si>
    <t>Partition coefficients</t>
  </si>
  <si>
    <t>might be needed?</t>
  </si>
  <si>
    <t>Partition Coefficients</t>
  </si>
  <si>
    <t>Water-Air (dimensionless)</t>
  </si>
  <si>
    <t>Sediment-Air (dimensionless)</t>
  </si>
  <si>
    <t>S.P-Air (dimensionless)</t>
  </si>
  <si>
    <t>Aerosol-Air (dimensionless)</t>
  </si>
  <si>
    <t>b7*e33</t>
  </si>
  <si>
    <t>b8*e33</t>
  </si>
  <si>
    <t>b17*e33</t>
  </si>
  <si>
    <t>Air mol/h</t>
  </si>
  <si>
    <t>V.P. (Pa) solid</t>
  </si>
  <si>
    <t>Air mol/Pa.h</t>
  </si>
  <si>
    <t>Total amount in system (Kg)</t>
  </si>
  <si>
    <t>Total amount in system (kg)</t>
  </si>
  <si>
    <t xml:space="preserve">Fugacity </t>
  </si>
  <si>
    <t>Fugacity Corrected</t>
  </si>
  <si>
    <t>Mass Of Spill Emission kg</t>
  </si>
  <si>
    <t>Mass Of Spill Emission moles</t>
  </si>
  <si>
    <t>Air Corrected</t>
  </si>
  <si>
    <t>Sediment Corrected</t>
  </si>
  <si>
    <t>Water Corrected</t>
  </si>
  <si>
    <t>S.P. Corrected</t>
  </si>
  <si>
    <t>Aerosol corrected</t>
  </si>
  <si>
    <t>Concentrations</t>
  </si>
  <si>
    <t xml:space="preserve">Corrected for Inflow </t>
  </si>
  <si>
    <t>Air corrected</t>
  </si>
  <si>
    <t>Aerosol Corrected</t>
  </si>
  <si>
    <t>q4/(q36+q38)</t>
  </si>
  <si>
    <t>q9/(q41+q43)</t>
  </si>
  <si>
    <t>q14/(q46+q48)</t>
  </si>
  <si>
    <t>q19/(q51+q53)</t>
  </si>
  <si>
    <t>q24/(q56+q58)</t>
  </si>
  <si>
    <t>Name-</t>
  </si>
  <si>
    <t>m3/h</t>
  </si>
  <si>
    <t>Concentration (mol/m3)</t>
  </si>
  <si>
    <t>mol/m3</t>
  </si>
  <si>
    <t>Kg/m3</t>
  </si>
  <si>
    <t>m3</t>
  </si>
  <si>
    <t>Concentration Air ng/m3</t>
  </si>
  <si>
    <t>mol/m3.Pa</t>
  </si>
  <si>
    <t>kg/m3</t>
  </si>
  <si>
    <t>Concentration Air (ng/m3)</t>
  </si>
  <si>
    <t>(b49*10^-9*1000)/b2</t>
  </si>
  <si>
    <t>Biota</t>
  </si>
  <si>
    <t>Lipid Biota g/g</t>
  </si>
  <si>
    <r>
      <t>K</t>
    </r>
    <r>
      <rPr>
        <vertAlign val="subscript"/>
        <sz val="10"/>
        <rFont val="Arial"/>
        <family val="2"/>
      </rPr>
      <t xml:space="preserve">FW </t>
    </r>
    <r>
      <rPr>
        <sz val="10"/>
        <rFont val="Arial"/>
        <family val="2"/>
      </rPr>
      <t>(biota)</t>
    </r>
  </si>
  <si>
    <t>Concentration Biota ng/g</t>
  </si>
  <si>
    <t>D reaction biota</t>
  </si>
  <si>
    <t>D advection biota</t>
  </si>
  <si>
    <t>Total Outloss Advection K kg/h</t>
  </si>
  <si>
    <t>Biota corrected</t>
  </si>
  <si>
    <t>Percentage in Biota</t>
  </si>
  <si>
    <t>Sediment concentration mg/kg</t>
  </si>
  <si>
    <t>Sediment concentration moles/kg</t>
  </si>
  <si>
    <t>Predicted partition of chermical in compartments from sediment (moles)</t>
  </si>
  <si>
    <t>Total moles in system</t>
  </si>
  <si>
    <t>Amount (moles)</t>
  </si>
  <si>
    <t>Concentration</t>
  </si>
  <si>
    <t xml:space="preserve">* note sediment conc (mg/kg) </t>
  </si>
  <si>
    <r>
      <t>Sediment (mg/kg)</t>
    </r>
    <r>
      <rPr>
        <sz val="10"/>
        <rFont val="Arial"/>
        <family val="2"/>
      </rPr>
      <t xml:space="preserve"> *</t>
    </r>
  </si>
  <si>
    <t>Air ng/m3</t>
  </si>
  <si>
    <t>Water ng/L</t>
  </si>
  <si>
    <t xml:space="preserve">Air </t>
  </si>
  <si>
    <t>S.P ng/g</t>
  </si>
  <si>
    <t>Aerosol ng/g</t>
  </si>
  <si>
    <t>Biota ng/g</t>
  </si>
  <si>
    <t xml:space="preserve">Aerosol </t>
  </si>
  <si>
    <t xml:space="preserve">S.P. </t>
  </si>
  <si>
    <t xml:space="preserve">Biota </t>
  </si>
  <si>
    <t>Total Mass in system (kg)</t>
  </si>
  <si>
    <t>Total Mass in system (moles)**</t>
  </si>
  <si>
    <t>but only after sediment concentration (mg/kg) has been entered in cell B59</t>
  </si>
  <si>
    <t>Conc mol/m3</t>
  </si>
  <si>
    <t>Ratio Sed/Water</t>
  </si>
  <si>
    <r>
      <t>BAF (C</t>
    </r>
    <r>
      <rPr>
        <b/>
        <vertAlign val="subscript"/>
        <sz val="10"/>
        <rFont val="Arial"/>
        <family val="2"/>
      </rPr>
      <t>biota</t>
    </r>
    <r>
      <rPr>
        <b/>
        <sz val="10"/>
        <rFont val="Arial"/>
        <family val="2"/>
      </rPr>
      <t>/C</t>
    </r>
    <r>
      <rPr>
        <b/>
        <vertAlign val="subscript"/>
        <sz val="10"/>
        <rFont val="Arial"/>
        <family val="2"/>
      </rPr>
      <t>water</t>
    </r>
    <r>
      <rPr>
        <b/>
        <sz val="10"/>
        <rFont val="Arial"/>
        <family val="2"/>
      </rPr>
      <t>)</t>
    </r>
  </si>
  <si>
    <t xml:space="preserve">* Remember to copy, then paste into cell B57 </t>
  </si>
  <si>
    <t>**Remember to Copy then Paste Special (Values) the total moles in system from cell W18 to cell B57 -</t>
  </si>
  <si>
    <t>Melting point deg C</t>
  </si>
  <si>
    <r>
      <t>BSAF (C</t>
    </r>
    <r>
      <rPr>
        <b/>
        <vertAlign val="subscript"/>
        <sz val="10"/>
        <rFont val="Arial"/>
        <family val="2"/>
      </rPr>
      <t>biota</t>
    </r>
    <r>
      <rPr>
        <b/>
        <sz val="10"/>
        <rFont val="Arial"/>
        <family val="2"/>
      </rPr>
      <t>/C</t>
    </r>
    <r>
      <rPr>
        <b/>
        <vertAlign val="subscript"/>
        <sz val="10"/>
        <rFont val="Arial"/>
        <family val="2"/>
      </rPr>
      <t>sediment</t>
    </r>
  </si>
  <si>
    <t>% Loss Reaction</t>
  </si>
  <si>
    <t>% Loss Advection</t>
  </si>
  <si>
    <t>Total % loss</t>
  </si>
  <si>
    <r>
      <t>Volumes relative to 1000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sediment</t>
    </r>
  </si>
  <si>
    <t>Depth of water (m)</t>
  </si>
  <si>
    <r>
      <t>Amount in 1000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sediment (moles)</t>
    </r>
  </si>
  <si>
    <t>Sediment (0.05 m depth)</t>
  </si>
  <si>
    <t>Concn of PAH in water due to SP</t>
  </si>
  <si>
    <t>Mass SP in system (g)</t>
  </si>
  <si>
    <t xml:space="preserve"> PAH, SP water concentration ng/l </t>
  </si>
  <si>
    <t>ng/l</t>
  </si>
  <si>
    <t>g</t>
  </si>
  <si>
    <t>Conc Water dissolved and SP</t>
  </si>
  <si>
    <t>Copper</t>
  </si>
  <si>
    <t>NA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</si>
</sst>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E+00"/>
    <numFmt numFmtId="165" formatCode="0.000E+00"/>
    <numFmt numFmtId="166" formatCode="0.0E+00"/>
    <numFmt numFmtId="167" formatCode="0E+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0000000000000000E+00"/>
    <numFmt numFmtId="189" formatCode="0.000000000000000000000E+00"/>
    <numFmt numFmtId="190" formatCode="0.0000000000000000000000E+00"/>
    <numFmt numFmtId="191" formatCode="0.00000000000000000000000E+00"/>
    <numFmt numFmtId="192" formatCode="0.000000000000000000000000E+00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1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5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1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1" fillId="2" borderId="1" xfId="0" applyFont="1" applyFill="1" applyBorder="1" applyAlignment="1">
      <alignment/>
    </xf>
    <xf numFmtId="11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1" fontId="1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" xfId="0" applyBorder="1" applyAlignment="1">
      <alignment horizontal="right"/>
    </xf>
    <xf numFmtId="167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1" fontId="1" fillId="0" borderId="5" xfId="0" applyNumberFormat="1" applyFont="1" applyFill="1" applyBorder="1" applyAlignment="1">
      <alignment/>
    </xf>
    <xf numFmtId="11" fontId="1" fillId="0" borderId="0" xfId="0" applyNumberFormat="1" applyFont="1" applyFill="1" applyAlignment="1">
      <alignment/>
    </xf>
    <xf numFmtId="2" fontId="1" fillId="3" borderId="1" xfId="0" applyNumberFormat="1" applyFont="1" applyFill="1" applyBorder="1" applyAlignment="1">
      <alignment/>
    </xf>
    <xf numFmtId="11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0" fontId="1" fillId="5" borderId="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/>
    </xf>
    <xf numFmtId="11" fontId="0" fillId="0" borderId="1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7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B4" sqref="B4"/>
    </sheetView>
  </sheetViews>
  <sheetFormatPr defaultColWidth="9.140625" defaultRowHeight="12.75"/>
  <cols>
    <col min="1" max="1" width="31.28125" style="0" bestFit="1" customWidth="1"/>
    <col min="2" max="2" width="12.421875" style="0" bestFit="1" customWidth="1"/>
    <col min="4" max="4" width="35.7109375" style="0" bestFit="1" customWidth="1"/>
    <col min="5" max="5" width="12.7109375" style="0" bestFit="1" customWidth="1"/>
    <col min="6" max="6" width="11.00390625" style="0" bestFit="1" customWidth="1"/>
    <col min="7" max="7" width="27.421875" style="0" bestFit="1" customWidth="1"/>
    <col min="8" max="8" width="18.8515625" style="0" bestFit="1" customWidth="1"/>
    <col min="10" max="10" width="32.57421875" style="0" bestFit="1" customWidth="1"/>
    <col min="11" max="11" width="20.8515625" style="0" bestFit="1" customWidth="1"/>
    <col min="13" max="13" width="38.57421875" style="0" bestFit="1" customWidth="1"/>
    <col min="14" max="14" width="13.28125" style="0" bestFit="1" customWidth="1"/>
    <col min="16" max="16" width="32.57421875" style="0" bestFit="1" customWidth="1"/>
    <col min="17" max="17" width="20.8515625" style="0" bestFit="1" customWidth="1"/>
    <col min="19" max="19" width="38.57421875" style="0" bestFit="1" customWidth="1"/>
    <col min="20" max="20" width="12.421875" style="0" bestFit="1" customWidth="1"/>
    <col min="22" max="22" width="26.8515625" style="0" bestFit="1" customWidth="1"/>
    <col min="23" max="23" width="13.421875" style="0" bestFit="1" customWidth="1"/>
  </cols>
  <sheetData>
    <row r="1" spans="1:23" ht="14.25">
      <c r="A1" s="9" t="s">
        <v>0</v>
      </c>
      <c r="B1" s="9" t="s">
        <v>271</v>
      </c>
      <c r="D1" s="9" t="s">
        <v>36</v>
      </c>
      <c r="E1" s="8" t="s">
        <v>37</v>
      </c>
      <c r="G1" s="17" t="s">
        <v>66</v>
      </c>
      <c r="J1" s="1" t="s">
        <v>115</v>
      </c>
      <c r="M1" s="1" t="s">
        <v>199</v>
      </c>
      <c r="N1" s="23"/>
      <c r="P1" s="10" t="s">
        <v>115</v>
      </c>
      <c r="Q1" s="11" t="s">
        <v>263</v>
      </c>
      <c r="S1" s="1" t="s">
        <v>199</v>
      </c>
      <c r="T1" s="23"/>
      <c r="V1" s="8" t="s">
        <v>212</v>
      </c>
      <c r="W1" s="9" t="s">
        <v>22</v>
      </c>
    </row>
    <row r="2" spans="1:23" ht="12.75">
      <c r="A2" s="2" t="s">
        <v>2</v>
      </c>
      <c r="B2" s="2"/>
      <c r="D2" s="2" t="s">
        <v>14</v>
      </c>
      <c r="E2" s="29" t="e">
        <f>B23/B30</f>
        <v>#DIV/0!</v>
      </c>
      <c r="G2" s="1" t="s">
        <v>250</v>
      </c>
      <c r="J2" s="1" t="s">
        <v>14</v>
      </c>
      <c r="M2" s="4" t="s">
        <v>14</v>
      </c>
      <c r="N2" s="3"/>
      <c r="P2" s="1" t="s">
        <v>257</v>
      </c>
      <c r="Q2" s="1" t="s">
        <v>262</v>
      </c>
      <c r="S2" s="4" t="s">
        <v>264</v>
      </c>
      <c r="T2" s="3"/>
      <c r="V2" s="1" t="s">
        <v>14</v>
      </c>
      <c r="W2" s="30"/>
    </row>
    <row r="3" spans="1:23" ht="14.25">
      <c r="A3" s="2" t="s">
        <v>3</v>
      </c>
      <c r="B3" s="2"/>
      <c r="D3" s="2" t="s">
        <v>20</v>
      </c>
      <c r="E3" s="29" t="e">
        <f>B25/B31</f>
        <v>#DIV/0!</v>
      </c>
      <c r="G3" s="2" t="s">
        <v>67</v>
      </c>
      <c r="H3" s="2" t="e">
        <f>LN(2)/B14</f>
        <v>#DIV/0!</v>
      </c>
      <c r="J3" s="2" t="s">
        <v>117</v>
      </c>
      <c r="K3" s="29" t="e">
        <f>H26*E33</f>
        <v>#DIV/0!</v>
      </c>
      <c r="M3" s="8" t="s">
        <v>200</v>
      </c>
      <c r="N3" s="29" t="e">
        <f>(100*K36)/K65</f>
        <v>#DIV/0!</v>
      </c>
      <c r="P3" s="2" t="s">
        <v>117</v>
      </c>
      <c r="Q3" s="29" t="e">
        <f>H27*E33</f>
        <v>#DIV/0!</v>
      </c>
      <c r="S3" s="8" t="s">
        <v>200</v>
      </c>
      <c r="T3" s="29" t="e">
        <f>(100*Q36)/Q65</f>
        <v>#DIV/0!</v>
      </c>
      <c r="V3" s="8" t="s">
        <v>215</v>
      </c>
      <c r="W3" s="37" t="s">
        <v>266</v>
      </c>
    </row>
    <row r="4" spans="1:22" ht="12.75">
      <c r="A4" s="2" t="s">
        <v>4</v>
      </c>
      <c r="B4" s="2"/>
      <c r="D4" s="2" t="s">
        <v>18</v>
      </c>
      <c r="E4" s="28" t="e">
        <f>B27/B32</f>
        <v>#DIV/0!</v>
      </c>
      <c r="G4" s="2" t="s">
        <v>82</v>
      </c>
      <c r="H4" s="29" t="e">
        <f>B23*E33*H3</f>
        <v>#DIV/0!</v>
      </c>
      <c r="J4" s="2" t="s">
        <v>118</v>
      </c>
      <c r="K4" s="29" t="e">
        <f>K3*B23</f>
        <v>#DIV/0!</v>
      </c>
      <c r="M4" s="8" t="s">
        <v>201</v>
      </c>
      <c r="N4" s="29" t="e">
        <f>(100*K38)/K65</f>
        <v>#DIV/0!</v>
      </c>
      <c r="P4" s="2" t="s">
        <v>118</v>
      </c>
      <c r="Q4" s="29" t="e">
        <f>Q3*B23</f>
        <v>#DIV/0!</v>
      </c>
      <c r="S4" s="8" t="s">
        <v>201</v>
      </c>
      <c r="T4" s="29" t="e">
        <f>(100*Q38)/Q65</f>
        <v>#DIV/0!</v>
      </c>
      <c r="V4" s="36" t="s">
        <v>20</v>
      </c>
    </row>
    <row r="5" spans="1:23" ht="12.75">
      <c r="A5" s="2" t="s">
        <v>6</v>
      </c>
      <c r="B5" s="2"/>
      <c r="D5" s="2" t="s">
        <v>23</v>
      </c>
      <c r="E5" s="2" t="e">
        <f>B26/B31</f>
        <v>#DIV/0!</v>
      </c>
      <c r="G5" s="2" t="s">
        <v>83</v>
      </c>
      <c r="H5" s="29" t="e">
        <f>E2*E33</f>
        <v>#DIV/0!</v>
      </c>
      <c r="J5" s="2" t="s">
        <v>116</v>
      </c>
      <c r="K5" s="35" t="e">
        <f>K4*B2/1000</f>
        <v>#DIV/0!</v>
      </c>
      <c r="M5" s="4" t="s">
        <v>20</v>
      </c>
      <c r="N5" s="3"/>
      <c r="P5" s="2" t="s">
        <v>116</v>
      </c>
      <c r="Q5" s="35" t="e">
        <f>Q4*B2/1000</f>
        <v>#DIV/0!</v>
      </c>
      <c r="S5" s="4" t="s">
        <v>259</v>
      </c>
      <c r="T5" s="3"/>
      <c r="V5" s="8" t="s">
        <v>215</v>
      </c>
      <c r="W5" s="30" t="s">
        <v>267</v>
      </c>
    </row>
    <row r="6" spans="1:22" ht="12.75">
      <c r="A6" s="2" t="s">
        <v>7</v>
      </c>
      <c r="B6" s="2"/>
      <c r="D6" s="2" t="s">
        <v>19</v>
      </c>
      <c r="E6" s="28" t="e">
        <f>B24/B30</f>
        <v>#DIV/0!</v>
      </c>
      <c r="G6" s="1" t="s">
        <v>20</v>
      </c>
      <c r="J6" s="2" t="s">
        <v>121</v>
      </c>
      <c r="K6" s="29" t="e">
        <f>K3*B2</f>
        <v>#DIV/0!</v>
      </c>
      <c r="M6" s="8" t="s">
        <v>200</v>
      </c>
      <c r="N6" s="29" t="e">
        <f>(100*K41)/K65</f>
        <v>#DIV/0!</v>
      </c>
      <c r="P6" s="2" t="s">
        <v>121</v>
      </c>
      <c r="Q6" s="29" t="e">
        <f>Q3*B2</f>
        <v>#DIV/0!</v>
      </c>
      <c r="S6" s="8" t="s">
        <v>200</v>
      </c>
      <c r="T6" s="29" t="e">
        <f>(100*Q41)/Q65</f>
        <v>#DIV/0!</v>
      </c>
      <c r="V6" s="4" t="s">
        <v>18</v>
      </c>
    </row>
    <row r="7" spans="1:23" ht="12.75">
      <c r="A7" s="2" t="s">
        <v>249</v>
      </c>
      <c r="B7" s="28"/>
      <c r="G7" s="2" t="s">
        <v>67</v>
      </c>
      <c r="H7" s="2" t="e">
        <f>LN(2)/B16</f>
        <v>#DIV/0!</v>
      </c>
      <c r="J7" s="1" t="s">
        <v>20</v>
      </c>
      <c r="M7" s="8" t="s">
        <v>201</v>
      </c>
      <c r="N7" s="29" t="e">
        <f>(100*K43)/K65</f>
        <v>#DIV/0!</v>
      </c>
      <c r="P7" s="1" t="s">
        <v>259</v>
      </c>
      <c r="S7" s="8" t="s">
        <v>201</v>
      </c>
      <c r="T7" s="29" t="e">
        <f>(100*K43)/K65</f>
        <v>#DIV/0!</v>
      </c>
      <c r="V7" s="9" t="s">
        <v>215</v>
      </c>
      <c r="W7" s="31" t="s">
        <v>268</v>
      </c>
    </row>
    <row r="8" spans="1:22" ht="14.25">
      <c r="A8" s="2" t="s">
        <v>227</v>
      </c>
      <c r="B8" s="2"/>
      <c r="D8" s="9" t="s">
        <v>45</v>
      </c>
      <c r="E8" s="9" t="s">
        <v>44</v>
      </c>
      <c r="G8" s="2" t="s">
        <v>86</v>
      </c>
      <c r="H8" s="29" t="e">
        <f>B25*E34*H7</f>
        <v>#DIV/0!</v>
      </c>
      <c r="J8" s="2" t="s">
        <v>117</v>
      </c>
      <c r="K8" s="29" t="e">
        <f>H26*E34</f>
        <v>#DIV/0!</v>
      </c>
      <c r="M8" s="4" t="s">
        <v>18</v>
      </c>
      <c r="P8" s="2" t="s">
        <v>117</v>
      </c>
      <c r="Q8" s="29" t="e">
        <f>H27*E34</f>
        <v>#DIV/0!</v>
      </c>
      <c r="S8" s="4" t="s">
        <v>258</v>
      </c>
      <c r="V8" s="4" t="s">
        <v>23</v>
      </c>
    </row>
    <row r="9" spans="1:23" ht="12.75">
      <c r="A9" s="2" t="s">
        <v>8</v>
      </c>
      <c r="B9" s="2"/>
      <c r="D9" s="2" t="s">
        <v>14</v>
      </c>
      <c r="E9" s="2" t="e">
        <f>(B49*10^-9)/B2</f>
        <v>#DIV/0!</v>
      </c>
      <c r="G9" s="2" t="s">
        <v>87</v>
      </c>
      <c r="H9" s="29" t="e">
        <f>E3*E34</f>
        <v>#DIV/0!</v>
      </c>
      <c r="J9" s="2" t="s">
        <v>118</v>
      </c>
      <c r="K9" s="29" t="e">
        <f>K8*B25</f>
        <v>#DIV/0!</v>
      </c>
      <c r="M9" s="8" t="s">
        <v>200</v>
      </c>
      <c r="N9" s="29" t="e">
        <f>(100*K46)/K65</f>
        <v>#DIV/0!</v>
      </c>
      <c r="P9" s="2" t="s">
        <v>118</v>
      </c>
      <c r="Q9" s="29" t="e">
        <f>Q8*B25</f>
        <v>#DIV/0!</v>
      </c>
      <c r="S9" s="8" t="s">
        <v>200</v>
      </c>
      <c r="T9" s="29" t="e">
        <f>(100*Q46)/Q65</f>
        <v>#DIV/0!</v>
      </c>
      <c r="V9" s="8" t="s">
        <v>215</v>
      </c>
      <c r="W9" s="30" t="s">
        <v>269</v>
      </c>
    </row>
    <row r="10" spans="1:22" ht="12.75">
      <c r="A10" s="2" t="s">
        <v>9</v>
      </c>
      <c r="B10" s="2"/>
      <c r="D10" s="2" t="s">
        <v>20</v>
      </c>
      <c r="E10" s="2" t="e">
        <f>(B50*10^-9*1000)/B2</f>
        <v>#DIV/0!</v>
      </c>
      <c r="G10" s="1" t="s">
        <v>18</v>
      </c>
      <c r="J10" s="2" t="s">
        <v>116</v>
      </c>
      <c r="K10" s="2" t="e">
        <f>(K9*B2)/1000</f>
        <v>#DIV/0!</v>
      </c>
      <c r="M10" s="8" t="s">
        <v>201</v>
      </c>
      <c r="N10" s="29" t="e">
        <f>(100*K48)/K65</f>
        <v>#DIV/0!</v>
      </c>
      <c r="P10" s="2" t="s">
        <v>116</v>
      </c>
      <c r="Q10" s="2" t="e">
        <f>(Q9*B2)/1000</f>
        <v>#DIV/0!</v>
      </c>
      <c r="S10" s="8" t="s">
        <v>201</v>
      </c>
      <c r="T10" s="29" t="e">
        <f>(100*Q48)/Q65</f>
        <v>#DIV/0!</v>
      </c>
      <c r="V10" s="4" t="s">
        <v>19</v>
      </c>
    </row>
    <row r="11" spans="1:23" ht="12.75">
      <c r="A11" s="2" t="s">
        <v>11</v>
      </c>
      <c r="B11" s="2"/>
      <c r="G11" s="2" t="s">
        <v>67</v>
      </c>
      <c r="H11" s="2" t="e">
        <f>LN(2)/B18</f>
        <v>#DIV/0!</v>
      </c>
      <c r="J11" s="2" t="s">
        <v>121</v>
      </c>
      <c r="K11" s="29" t="e">
        <f>K8*B2</f>
        <v>#DIV/0!</v>
      </c>
      <c r="M11" s="4" t="s">
        <v>23</v>
      </c>
      <c r="P11" s="2" t="s">
        <v>121</v>
      </c>
      <c r="Q11" s="29" t="e">
        <f>Q8*B2</f>
        <v>#DIV/0!</v>
      </c>
      <c r="S11" s="4" t="s">
        <v>260</v>
      </c>
      <c r="V11" s="8" t="s">
        <v>215</v>
      </c>
      <c r="W11" s="38" t="s">
        <v>270</v>
      </c>
    </row>
    <row r="12" spans="1:20" ht="14.25">
      <c r="A12" s="3"/>
      <c r="B12" s="3"/>
      <c r="D12" s="9" t="s">
        <v>46</v>
      </c>
      <c r="E12" s="9" t="s">
        <v>43</v>
      </c>
      <c r="G12" s="2" t="s">
        <v>89</v>
      </c>
      <c r="H12" s="28" t="e">
        <f>B27*E35*H11</f>
        <v>#DIV/0!</v>
      </c>
      <c r="J12" s="1" t="s">
        <v>18</v>
      </c>
      <c r="M12" s="8" t="s">
        <v>200</v>
      </c>
      <c r="N12" s="29" t="e">
        <f>(100*K51)/K65</f>
        <v>#DIV/0!</v>
      </c>
      <c r="P12" s="1" t="s">
        <v>258</v>
      </c>
      <c r="S12" s="8" t="s">
        <v>200</v>
      </c>
      <c r="T12" s="29" t="e">
        <f>(100*Q51)/Q65</f>
        <v>#DIV/0!</v>
      </c>
    </row>
    <row r="13" spans="1:20" ht="14.25">
      <c r="A13" s="8" t="s">
        <v>21</v>
      </c>
      <c r="B13" s="9" t="s">
        <v>22</v>
      </c>
      <c r="D13" s="2" t="s">
        <v>14</v>
      </c>
      <c r="E13" s="2" t="e">
        <f>(E9*B2)/1000</f>
        <v>#DIV/0!</v>
      </c>
      <c r="G13" s="2" t="s">
        <v>90</v>
      </c>
      <c r="H13" s="28" t="e">
        <f>E4*E35</f>
        <v>#DIV/0!</v>
      </c>
      <c r="J13" s="2" t="s">
        <v>117</v>
      </c>
      <c r="K13" s="29" t="e">
        <f>H26*E35</f>
        <v>#DIV/0!</v>
      </c>
      <c r="M13" s="8" t="s">
        <v>201</v>
      </c>
      <c r="N13" s="29" t="e">
        <f>(100*K53)/K65</f>
        <v>#DIV/0!</v>
      </c>
      <c r="P13" s="2" t="s">
        <v>117</v>
      </c>
      <c r="Q13" s="29" t="e">
        <f>H27*E35</f>
        <v>#DIV/0!</v>
      </c>
      <c r="S13" s="8" t="s">
        <v>201</v>
      </c>
      <c r="T13" s="29" t="e">
        <f>(100*Q53)/Q65</f>
        <v>#DIV/0!</v>
      </c>
    </row>
    <row r="14" spans="1:19" ht="12.75">
      <c r="A14" s="6" t="s">
        <v>14</v>
      </c>
      <c r="B14" s="2"/>
      <c r="D14" s="2" t="s">
        <v>20</v>
      </c>
      <c r="E14" s="2" t="e">
        <f>(E10*B2)/1000</f>
        <v>#DIV/0!</v>
      </c>
      <c r="G14" s="1" t="s">
        <v>94</v>
      </c>
      <c r="J14" s="2" t="s">
        <v>118</v>
      </c>
      <c r="K14" s="29" t="e">
        <f>K13*B27</f>
        <v>#DIV/0!</v>
      </c>
      <c r="M14" s="4" t="s">
        <v>19</v>
      </c>
      <c r="P14" s="2" t="s">
        <v>118</v>
      </c>
      <c r="Q14" s="29" t="e">
        <f>Q13*B27</f>
        <v>#DIV/0!</v>
      </c>
      <c r="S14" s="4" t="s">
        <v>265</v>
      </c>
    </row>
    <row r="15" spans="1:20" ht="12.75">
      <c r="A15" s="6" t="s">
        <v>19</v>
      </c>
      <c r="B15" s="2"/>
      <c r="G15" s="2" t="s">
        <v>67</v>
      </c>
      <c r="H15" s="2" t="e">
        <f>LN(2)/B17</f>
        <v>#DIV/0!</v>
      </c>
      <c r="J15" s="2" t="s">
        <v>116</v>
      </c>
      <c r="K15" s="29" t="e">
        <f>K14*B2/1000</f>
        <v>#DIV/0!</v>
      </c>
      <c r="M15" s="8" t="s">
        <v>200</v>
      </c>
      <c r="N15" s="29" t="e">
        <f>(100*K56)/K65</f>
        <v>#DIV/0!</v>
      </c>
      <c r="P15" s="2" t="s">
        <v>116</v>
      </c>
      <c r="Q15" s="29" t="e">
        <f>Q14*B2/1000</f>
        <v>#DIV/0!</v>
      </c>
      <c r="S15" s="8" t="s">
        <v>200</v>
      </c>
      <c r="T15" s="29" t="e">
        <f>(100*Q56)/Q65</f>
        <v>#DIV/0!</v>
      </c>
    </row>
    <row r="16" spans="1:20" ht="12.75">
      <c r="A16" s="6" t="s">
        <v>20</v>
      </c>
      <c r="B16" s="2"/>
      <c r="D16" s="9" t="s">
        <v>57</v>
      </c>
      <c r="E16" s="9" t="s">
        <v>50</v>
      </c>
      <c r="G16" s="2" t="s">
        <v>95</v>
      </c>
      <c r="H16" s="2" t="e">
        <f>B26*E36*H15</f>
        <v>#DIV/0!</v>
      </c>
      <c r="J16" s="2" t="s">
        <v>121</v>
      </c>
      <c r="K16" s="29" t="e">
        <f>K13*B2</f>
        <v>#DIV/0!</v>
      </c>
      <c r="M16" s="8" t="s">
        <v>201</v>
      </c>
      <c r="N16" s="29" t="e">
        <f>(100*K58)/K65</f>
        <v>#DIV/0!</v>
      </c>
      <c r="P16" s="2" t="s">
        <v>121</v>
      </c>
      <c r="Q16" s="29" t="e">
        <f>Q13*B2</f>
        <v>#DIV/0!</v>
      </c>
      <c r="S16" s="8" t="s">
        <v>201</v>
      </c>
      <c r="T16" s="29" t="e">
        <f>(100*Q58)/Q65</f>
        <v>#DIV/0!</v>
      </c>
    </row>
    <row r="17" spans="1:16" ht="12.75">
      <c r="A17" s="6" t="s">
        <v>23</v>
      </c>
      <c r="B17" s="2"/>
      <c r="D17" s="2" t="s">
        <v>14</v>
      </c>
      <c r="E17" s="29" t="e">
        <f>E2*E9</f>
        <v>#DIV/0!</v>
      </c>
      <c r="G17" s="2" t="s">
        <v>96</v>
      </c>
      <c r="H17" s="2" t="e">
        <f>E5*E36</f>
        <v>#DIV/0!</v>
      </c>
      <c r="J17" s="1" t="s">
        <v>23</v>
      </c>
      <c r="P17" s="1" t="s">
        <v>260</v>
      </c>
    </row>
    <row r="18" spans="1:20" ht="14.25">
      <c r="A18" s="6" t="s">
        <v>18</v>
      </c>
      <c r="B18" s="2"/>
      <c r="D18" s="2" t="s">
        <v>20</v>
      </c>
      <c r="E18" s="29" t="e">
        <f>E3*E10</f>
        <v>#DIV/0!</v>
      </c>
      <c r="G18" s="1" t="s">
        <v>19</v>
      </c>
      <c r="J18" s="2" t="s">
        <v>117</v>
      </c>
      <c r="K18" s="29" t="e">
        <f>H26*E36</f>
        <v>#DIV/0!</v>
      </c>
      <c r="M18" s="39"/>
      <c r="N18" s="3"/>
      <c r="P18" s="2" t="s">
        <v>117</v>
      </c>
      <c r="Q18" s="29" t="e">
        <f>H27*E36</f>
        <v>#DIV/0!</v>
      </c>
      <c r="S18" s="1" t="s">
        <v>197</v>
      </c>
      <c r="T18" s="3"/>
    </row>
    <row r="19" spans="1:20" ht="12.75">
      <c r="A19" s="3"/>
      <c r="B19" s="3"/>
      <c r="D19" s="6" t="s">
        <v>53</v>
      </c>
      <c r="E19" s="16">
        <v>0</v>
      </c>
      <c r="G19" s="2" t="s">
        <v>67</v>
      </c>
      <c r="H19" s="2" t="e">
        <f>LN(2)/B15</f>
        <v>#DIV/0!</v>
      </c>
      <c r="J19" s="2" t="s">
        <v>118</v>
      </c>
      <c r="K19" s="29" t="e">
        <f>K18*B26</f>
        <v>#DIV/0!</v>
      </c>
      <c r="M19" s="39"/>
      <c r="N19" s="40"/>
      <c r="P19" s="2" t="s">
        <v>118</v>
      </c>
      <c r="Q19" s="29" t="e">
        <f>Q18*B26</f>
        <v>#DIV/0!</v>
      </c>
      <c r="S19" s="9" t="s">
        <v>193</v>
      </c>
      <c r="T19" s="29" t="e">
        <f>100*(Q4/Q27)</f>
        <v>#DIV/0!</v>
      </c>
    </row>
    <row r="20" spans="1:20" ht="12.75">
      <c r="A20" s="4" t="s">
        <v>13</v>
      </c>
      <c r="B20" s="3"/>
      <c r="D20" s="6" t="s">
        <v>18</v>
      </c>
      <c r="E20" s="16">
        <v>0</v>
      </c>
      <c r="G20" s="2" t="s">
        <v>111</v>
      </c>
      <c r="H20" s="28" t="e">
        <f>B24*E37*H19</f>
        <v>#DIV/0!</v>
      </c>
      <c r="J20" s="2" t="s">
        <v>116</v>
      </c>
      <c r="K20" s="29" t="e">
        <f>K19*B2/1000</f>
        <v>#DIV/0!</v>
      </c>
      <c r="M20" s="39"/>
      <c r="N20" s="40"/>
      <c r="P20" s="2" t="s">
        <v>116</v>
      </c>
      <c r="Q20" s="29" t="e">
        <f>Q19*B2/1000</f>
        <v>#DIV/0!</v>
      </c>
      <c r="S20" s="9" t="s">
        <v>198</v>
      </c>
      <c r="T20" s="29" t="e">
        <f>100*(Q9/Q27)</f>
        <v>#DIV/0!</v>
      </c>
    </row>
    <row r="21" spans="1:20" ht="12.75">
      <c r="A21" s="5"/>
      <c r="B21" s="12"/>
      <c r="G21" s="2" t="s">
        <v>112</v>
      </c>
      <c r="H21" s="28" t="e">
        <f>E6*E37</f>
        <v>#DIV/0!</v>
      </c>
      <c r="J21" s="2" t="s">
        <v>121</v>
      </c>
      <c r="K21" s="29" t="e">
        <f>K18*B2</f>
        <v>#DIV/0!</v>
      </c>
      <c r="M21" s="39"/>
      <c r="N21" s="40"/>
      <c r="P21" s="2" t="s">
        <v>121</v>
      </c>
      <c r="Q21" s="29" t="e">
        <f>Q18*B2</f>
        <v>#DIV/0!</v>
      </c>
      <c r="S21" s="9" t="s">
        <v>194</v>
      </c>
      <c r="T21" s="29" t="e">
        <f>100*(Q14/Q27)</f>
        <v>#DIV/0!</v>
      </c>
    </row>
    <row r="22" spans="1:20" ht="14.25">
      <c r="A22" s="8" t="s">
        <v>26</v>
      </c>
      <c r="B22" s="9" t="s">
        <v>27</v>
      </c>
      <c r="D22" s="9" t="s">
        <v>62</v>
      </c>
      <c r="E22" s="9" t="s">
        <v>56</v>
      </c>
      <c r="J22" s="1" t="s">
        <v>19</v>
      </c>
      <c r="M22" s="39"/>
      <c r="N22" s="40"/>
      <c r="P22" s="1" t="s">
        <v>261</v>
      </c>
      <c r="S22" s="9" t="s">
        <v>195</v>
      </c>
      <c r="T22" s="29" t="e">
        <f>100*(Q19/Q27)</f>
        <v>#DIV/0!</v>
      </c>
    </row>
    <row r="23" spans="1:20" ht="14.25">
      <c r="A23" s="6" t="s">
        <v>14</v>
      </c>
      <c r="B23" s="29"/>
      <c r="D23" s="2" t="s">
        <v>14</v>
      </c>
      <c r="E23" s="2" t="e">
        <f>(E17*B2)/1000</f>
        <v>#DIV/0!</v>
      </c>
      <c r="G23" s="2" t="s">
        <v>105</v>
      </c>
      <c r="H23" s="29" t="e">
        <f>H4+H8+H12+H16+H20</f>
        <v>#DIV/0!</v>
      </c>
      <c r="J23" s="2" t="s">
        <v>117</v>
      </c>
      <c r="K23" s="29" t="e">
        <f>H26*E37</f>
        <v>#DIV/0!</v>
      </c>
      <c r="M23" s="39"/>
      <c r="N23" s="40"/>
      <c r="P23" s="2" t="s">
        <v>117</v>
      </c>
      <c r="Q23" s="29" t="e">
        <f>H27*E37</f>
        <v>#DIV/0!</v>
      </c>
      <c r="S23" s="9" t="s">
        <v>196</v>
      </c>
      <c r="T23" s="29" t="e">
        <f>100*(Q24/Q27)</f>
        <v>#DIV/0!</v>
      </c>
    </row>
    <row r="24" spans="1:17" ht="12.75">
      <c r="A24" s="6" t="s">
        <v>15</v>
      </c>
      <c r="B24" s="28"/>
      <c r="D24" s="2" t="s">
        <v>20</v>
      </c>
      <c r="E24" s="2" t="e">
        <f>(E18*B2)/1000</f>
        <v>#DIV/0!</v>
      </c>
      <c r="G24" s="2" t="s">
        <v>106</v>
      </c>
      <c r="H24" s="29" t="e">
        <f>H5+H9+H13+H17+H21</f>
        <v>#DIV/0!</v>
      </c>
      <c r="J24" s="2" t="s">
        <v>118</v>
      </c>
      <c r="K24" s="29" t="e">
        <f>K23*B24</f>
        <v>#DIV/0!</v>
      </c>
      <c r="P24" s="2" t="s">
        <v>118</v>
      </c>
      <c r="Q24" s="29" t="e">
        <f>Q23*B24</f>
        <v>#DIV/0!</v>
      </c>
    </row>
    <row r="25" spans="1:20" ht="12.75">
      <c r="A25" s="6" t="s">
        <v>16</v>
      </c>
      <c r="B25" s="29"/>
      <c r="D25" s="6" t="s">
        <v>53</v>
      </c>
      <c r="E25" s="2">
        <v>0</v>
      </c>
      <c r="G25" s="9" t="s">
        <v>107</v>
      </c>
      <c r="H25" s="30" t="e">
        <f>H23+H24</f>
        <v>#DIV/0!</v>
      </c>
      <c r="J25" s="2" t="s">
        <v>116</v>
      </c>
      <c r="K25" s="29" t="e">
        <f>K24*B2/1000</f>
        <v>#DIV/0!</v>
      </c>
      <c r="M25" s="4" t="s">
        <v>212</v>
      </c>
      <c r="N25" s="1" t="s">
        <v>22</v>
      </c>
      <c r="P25" s="2" t="s">
        <v>116</v>
      </c>
      <c r="Q25" s="29" t="e">
        <f>Q24*B2/1000</f>
        <v>#DIV/0!</v>
      </c>
      <c r="S25" s="4" t="s">
        <v>212</v>
      </c>
      <c r="T25" s="1" t="s">
        <v>22</v>
      </c>
    </row>
    <row r="26" spans="1:20" ht="12.75">
      <c r="A26" s="6" t="s">
        <v>17</v>
      </c>
      <c r="B26" s="2"/>
      <c r="D26" s="6" t="s">
        <v>18</v>
      </c>
      <c r="E26" s="2">
        <v>0</v>
      </c>
      <c r="G26" s="9" t="s">
        <v>253</v>
      </c>
      <c r="H26" s="30" t="e">
        <f>B57/F38</f>
        <v>#DIV/0!</v>
      </c>
      <c r="J26" s="2" t="s">
        <v>121</v>
      </c>
      <c r="K26" s="29" t="e">
        <f>K23*B2</f>
        <v>#DIV/0!</v>
      </c>
      <c r="M26" s="8" t="s">
        <v>213</v>
      </c>
      <c r="N26" s="29" t="e">
        <f>K27/K61</f>
        <v>#DIV/0!</v>
      </c>
      <c r="P26" s="2" t="s">
        <v>121</v>
      </c>
      <c r="Q26" s="29" t="e">
        <f>Q23*B2</f>
        <v>#DIV/0!</v>
      </c>
      <c r="S26" s="8" t="s">
        <v>213</v>
      </c>
      <c r="T26" s="29" t="e">
        <f>Q27/Q61</f>
        <v>#DIV/0!</v>
      </c>
    </row>
    <row r="27" spans="1:20" ht="12.75">
      <c r="A27" s="6" t="s">
        <v>18</v>
      </c>
      <c r="B27" s="28"/>
      <c r="G27" s="8" t="s">
        <v>254</v>
      </c>
      <c r="H27" s="30" t="e">
        <f>B47/H25</f>
        <v>#DIV/0!</v>
      </c>
      <c r="J27" s="8" t="s">
        <v>140</v>
      </c>
      <c r="K27" s="32" t="e">
        <f>K4+K9+K14+K19+K24</f>
        <v>#DIV/0!</v>
      </c>
      <c r="M27" s="8" t="s">
        <v>214</v>
      </c>
      <c r="N27" s="33" t="e">
        <f>K27/K62</f>
        <v>#DIV/0!</v>
      </c>
      <c r="P27" s="8" t="s">
        <v>140</v>
      </c>
      <c r="Q27" s="32" t="e">
        <f>Q4+Q9+Q14+Q19+Q24</f>
        <v>#DIV/0!</v>
      </c>
      <c r="S27" s="8" t="s">
        <v>214</v>
      </c>
      <c r="T27" s="33" t="e">
        <f>Q27/Q62</f>
        <v>#DIV/0!</v>
      </c>
    </row>
    <row r="28" spans="1:20" ht="12.75">
      <c r="A28" s="7"/>
      <c r="B28" s="3"/>
      <c r="D28" s="9" t="s">
        <v>58</v>
      </c>
      <c r="E28" s="30" t="s">
        <v>64</v>
      </c>
      <c r="J28" s="8" t="s">
        <v>251</v>
      </c>
      <c r="K28" s="30" t="e">
        <f>K5+K10+K15+K20+K25</f>
        <v>#DIV/0!</v>
      </c>
      <c r="M28" s="8" t="s">
        <v>215</v>
      </c>
      <c r="N28" s="29" t="e">
        <f>K27/K65</f>
        <v>#DIV/0!</v>
      </c>
      <c r="P28" s="34" t="s">
        <v>252</v>
      </c>
      <c r="Q28" s="30" t="e">
        <f>Q5+Q10+Q15+Q20+Q25</f>
        <v>#DIV/0!</v>
      </c>
      <c r="S28" s="8" t="s">
        <v>215</v>
      </c>
      <c r="T28" s="29" t="e">
        <f>Q27/Q65</f>
        <v>#DIV/0!</v>
      </c>
    </row>
    <row r="29" spans="1:20" ht="14.25">
      <c r="A29" s="8" t="s">
        <v>24</v>
      </c>
      <c r="B29" s="9" t="s">
        <v>22</v>
      </c>
      <c r="D29" s="9" t="s">
        <v>63</v>
      </c>
      <c r="E29" s="31" t="s">
        <v>65</v>
      </c>
      <c r="J29" s="9" t="s">
        <v>142</v>
      </c>
      <c r="K29" s="29" t="e">
        <f>K6*10^9</f>
        <v>#DIV/0!</v>
      </c>
      <c r="M29" s="2"/>
      <c r="N29" s="1" t="s">
        <v>219</v>
      </c>
      <c r="P29" s="9" t="s">
        <v>142</v>
      </c>
      <c r="Q29" s="29" t="e">
        <f>Q6*10^9</f>
        <v>#DIV/0!</v>
      </c>
      <c r="T29" s="1" t="s">
        <v>219</v>
      </c>
    </row>
    <row r="30" spans="1:20" ht="12.75">
      <c r="A30" s="6" t="s">
        <v>14</v>
      </c>
      <c r="B30" s="2"/>
      <c r="J30" s="9" t="s">
        <v>143</v>
      </c>
      <c r="K30" s="29" t="e">
        <f>K11*10^6</f>
        <v>#DIV/0!</v>
      </c>
      <c r="M30" s="8" t="s">
        <v>213</v>
      </c>
      <c r="N30" s="29" t="e">
        <f>N26/24</f>
        <v>#DIV/0!</v>
      </c>
      <c r="P30" s="9" t="s">
        <v>143</v>
      </c>
      <c r="Q30" s="29" t="e">
        <f>Q11*10^6</f>
        <v>#DIV/0!</v>
      </c>
      <c r="S30" s="8" t="s">
        <v>213</v>
      </c>
      <c r="T30" s="29" t="e">
        <f>T26/24</f>
        <v>#DIV/0!</v>
      </c>
    </row>
    <row r="31" spans="1:20" ht="12.75">
      <c r="A31" s="6" t="s">
        <v>20</v>
      </c>
      <c r="B31" s="2"/>
      <c r="E31" s="18" t="s">
        <v>69</v>
      </c>
      <c r="F31" s="19" t="s">
        <v>70</v>
      </c>
      <c r="J31" s="9" t="s">
        <v>144</v>
      </c>
      <c r="K31" s="2" t="e">
        <f>(K16*10^6)/B39</f>
        <v>#DIV/0!</v>
      </c>
      <c r="M31" s="8" t="s">
        <v>214</v>
      </c>
      <c r="N31" s="33" t="e">
        <f>N27/24</f>
        <v>#DIV/0!</v>
      </c>
      <c r="P31" s="9" t="s">
        <v>144</v>
      </c>
      <c r="Q31" s="2" t="e">
        <f>(Q16*10^6)/B39</f>
        <v>#DIV/0!</v>
      </c>
      <c r="S31" s="8" t="s">
        <v>214</v>
      </c>
      <c r="T31" s="33" t="e">
        <f>T27/24</f>
        <v>#DIV/0!</v>
      </c>
    </row>
    <row r="32" spans="1:20" ht="14.25">
      <c r="A32" s="6" t="s">
        <v>25</v>
      </c>
      <c r="B32" s="2"/>
      <c r="E32" s="20" t="s">
        <v>71</v>
      </c>
      <c r="F32" s="20" t="s">
        <v>72</v>
      </c>
      <c r="J32" s="9" t="s">
        <v>145</v>
      </c>
      <c r="K32" s="2" t="e">
        <f>(K21*10^6)/B38</f>
        <v>#DIV/0!</v>
      </c>
      <c r="M32" s="8" t="s">
        <v>215</v>
      </c>
      <c r="N32" s="29" t="e">
        <f>N28/24</f>
        <v>#DIV/0!</v>
      </c>
      <c r="P32" s="9" t="s">
        <v>145</v>
      </c>
      <c r="Q32" s="2" t="e">
        <f>(Q21*10^6)/B38</f>
        <v>#DIV/0!</v>
      </c>
      <c r="S32" s="8" t="s">
        <v>215</v>
      </c>
      <c r="T32" s="29" t="e">
        <f>T28/24</f>
        <v>#DIV/0!</v>
      </c>
    </row>
    <row r="33" spans="1:17" ht="12.75">
      <c r="A33" s="7"/>
      <c r="D33" s="2" t="s">
        <v>14</v>
      </c>
      <c r="E33" s="20" t="e">
        <f>1/(8.31451*B4)</f>
        <v>#DIV/0!</v>
      </c>
      <c r="F33" s="29" t="e">
        <f>B23*E33</f>
        <v>#DIV/0!</v>
      </c>
      <c r="J33" s="9" t="s">
        <v>146</v>
      </c>
      <c r="K33" s="2" t="e">
        <f>(K26*10^6)/B36</f>
        <v>#DIV/0!</v>
      </c>
      <c r="P33" s="9" t="s">
        <v>146</v>
      </c>
      <c r="Q33" s="2" t="e">
        <f>(Q26*10^6)/B36</f>
        <v>#DIV/0!</v>
      </c>
    </row>
    <row r="34" spans="1:6" ht="14.25">
      <c r="A34" s="10" t="s">
        <v>29</v>
      </c>
      <c r="B34" s="11" t="s">
        <v>28</v>
      </c>
      <c r="D34" s="2" t="s">
        <v>20</v>
      </c>
      <c r="E34" s="28" t="e">
        <f>B6/B7</f>
        <v>#DIV/0!</v>
      </c>
      <c r="F34" s="29" t="e">
        <f>B25*E34</f>
        <v>#DIV/0!</v>
      </c>
    </row>
    <row r="35" spans="1:16" ht="12.75">
      <c r="A35" s="2" t="s">
        <v>14</v>
      </c>
      <c r="B35" s="2"/>
      <c r="D35" s="2" t="s">
        <v>18</v>
      </c>
      <c r="E35" s="2" t="e">
        <f>(E34*B39*B43*B11)/1000</f>
        <v>#DIV/0!</v>
      </c>
      <c r="F35" s="28" t="e">
        <f>B27*E35</f>
        <v>#DIV/0!</v>
      </c>
      <c r="J35" s="4" t="s">
        <v>14</v>
      </c>
      <c r="P35" s="4" t="s">
        <v>14</v>
      </c>
    </row>
    <row r="36" spans="1:17" ht="12.75">
      <c r="A36" s="2" t="s">
        <v>19</v>
      </c>
      <c r="B36" s="2"/>
      <c r="D36" s="2" t="s">
        <v>74</v>
      </c>
      <c r="E36" s="2" t="e">
        <f>(E34*B38*B42*B11)/1000</f>
        <v>#DIV/0!</v>
      </c>
      <c r="F36" s="2" t="e">
        <f>B26*E36</f>
        <v>#DIV/0!</v>
      </c>
      <c r="J36" s="15" t="s">
        <v>172</v>
      </c>
      <c r="K36" s="29" t="e">
        <f>B23*K3*H3</f>
        <v>#DIV/0!</v>
      </c>
      <c r="P36" s="15" t="s">
        <v>172</v>
      </c>
      <c r="Q36" s="29" t="e">
        <f>B23*Q3*H3</f>
        <v>#DIV/0!</v>
      </c>
    </row>
    <row r="37" spans="1:17" ht="12.75">
      <c r="A37" s="2" t="s">
        <v>20</v>
      </c>
      <c r="B37" s="2"/>
      <c r="D37" s="2" t="s">
        <v>19</v>
      </c>
      <c r="E37" s="28" t="e">
        <f>(E33*6000000)/B53</f>
        <v>#DIV/0!</v>
      </c>
      <c r="F37" s="28" t="e">
        <f>B24*E37</f>
        <v>#DIV/0!</v>
      </c>
      <c r="J37" s="15" t="s">
        <v>173</v>
      </c>
      <c r="K37" s="2" t="e">
        <f>(K36*B2)/1000</f>
        <v>#DIV/0!</v>
      </c>
      <c r="P37" s="15" t="s">
        <v>173</v>
      </c>
      <c r="Q37" s="2" t="e">
        <f>(Q36*B2)/1000</f>
        <v>#DIV/0!</v>
      </c>
    </row>
    <row r="38" spans="1:17" ht="12.75">
      <c r="A38" s="2" t="s">
        <v>17</v>
      </c>
      <c r="B38" s="2"/>
      <c r="E38" s="8" t="s">
        <v>75</v>
      </c>
      <c r="F38" s="29" t="e">
        <f>SUM(F33:F37)</f>
        <v>#DIV/0!</v>
      </c>
      <c r="J38" s="15" t="s">
        <v>174</v>
      </c>
      <c r="K38" s="29" t="e">
        <f>E2*K3</f>
        <v>#DIV/0!</v>
      </c>
      <c r="P38" s="15" t="s">
        <v>174</v>
      </c>
      <c r="Q38" s="29" t="e">
        <f>E2*Q3</f>
        <v>#DIV/0!</v>
      </c>
    </row>
    <row r="39" spans="1:17" ht="12.75">
      <c r="A39" s="2" t="s">
        <v>18</v>
      </c>
      <c r="B39" s="2"/>
      <c r="E39" s="21"/>
      <c r="F39" s="22"/>
      <c r="J39" s="15" t="s">
        <v>175</v>
      </c>
      <c r="K39" s="2" t="e">
        <f>(K38*B2)/1000</f>
        <v>#DIV/0!</v>
      </c>
      <c r="P39" s="15" t="s">
        <v>175</v>
      </c>
      <c r="Q39" s="2" t="e">
        <f>(Q38*B2)/1000</f>
        <v>#DIV/0!</v>
      </c>
    </row>
    <row r="40" spans="10:16" ht="12.75">
      <c r="J40" s="4" t="s">
        <v>20</v>
      </c>
      <c r="P40" s="4" t="s">
        <v>20</v>
      </c>
    </row>
    <row r="41" spans="1:17" ht="12.75">
      <c r="A41" s="10" t="s">
        <v>30</v>
      </c>
      <c r="B41" s="11" t="s">
        <v>31</v>
      </c>
      <c r="J41" s="15" t="s">
        <v>172</v>
      </c>
      <c r="K41" s="29" t="e">
        <f>B25*K8*H7</f>
        <v>#DIV/0!</v>
      </c>
      <c r="P41" s="15" t="s">
        <v>172</v>
      </c>
      <c r="Q41" s="29" t="e">
        <f>B25*Q8*H7</f>
        <v>#DIV/0!</v>
      </c>
    </row>
    <row r="42" spans="1:17" ht="12.75">
      <c r="A42" s="2" t="s">
        <v>17</v>
      </c>
      <c r="B42" s="2"/>
      <c r="J42" s="15" t="s">
        <v>173</v>
      </c>
      <c r="K42" s="2" t="e">
        <f>(K41*B2)/1000</f>
        <v>#DIV/0!</v>
      </c>
      <c r="P42" s="15" t="s">
        <v>173</v>
      </c>
      <c r="Q42" s="2" t="e">
        <f>(Q41*B2)/1000</f>
        <v>#DIV/0!</v>
      </c>
    </row>
    <row r="43" spans="1:17" ht="12.75">
      <c r="A43" s="2" t="s">
        <v>18</v>
      </c>
      <c r="B43" s="2"/>
      <c r="J43" s="15" t="s">
        <v>174</v>
      </c>
      <c r="K43" s="29" t="e">
        <f>E3*K8</f>
        <v>#DIV/0!</v>
      </c>
      <c r="P43" s="15" t="s">
        <v>174</v>
      </c>
      <c r="Q43" s="29" t="e">
        <f>E3*Q8</f>
        <v>#DIV/0!</v>
      </c>
    </row>
    <row r="44" spans="10:17" ht="12.75">
      <c r="J44" s="15" t="s">
        <v>175</v>
      </c>
      <c r="K44" s="2" t="e">
        <f>(K43*B2)/1000</f>
        <v>#DIV/0!</v>
      </c>
      <c r="P44" s="15" t="s">
        <v>175</v>
      </c>
      <c r="Q44" s="2" t="e">
        <f>(Q43*B2)/1000</f>
        <v>#DIV/0!</v>
      </c>
    </row>
    <row r="45" spans="1:16" ht="12.75">
      <c r="A45" s="1" t="s">
        <v>32</v>
      </c>
      <c r="J45" s="4" t="s">
        <v>18</v>
      </c>
      <c r="P45" s="4" t="s">
        <v>18</v>
      </c>
    </row>
    <row r="46" spans="1:17" ht="12.75">
      <c r="A46" s="2" t="s">
        <v>59</v>
      </c>
      <c r="B46" s="28" t="e">
        <f>K28/N28</f>
        <v>#DIV/0!</v>
      </c>
      <c r="J46" s="15" t="s">
        <v>172</v>
      </c>
      <c r="K46" s="28" t="e">
        <f>B27*K13*H11</f>
        <v>#DIV/0!</v>
      </c>
      <c r="P46" s="15" t="s">
        <v>172</v>
      </c>
      <c r="Q46" s="28" t="e">
        <f>B27*Q13*H11</f>
        <v>#DIV/0!</v>
      </c>
    </row>
    <row r="47" spans="1:17" ht="12.75">
      <c r="A47" s="2" t="s">
        <v>60</v>
      </c>
      <c r="B47" s="2" t="e">
        <f>(B46*1000)/B2</f>
        <v>#DIV/0!</v>
      </c>
      <c r="J47" s="15" t="s">
        <v>173</v>
      </c>
      <c r="K47" s="2" t="e">
        <f>(K46*B2)/1000</f>
        <v>#DIV/0!</v>
      </c>
      <c r="P47" s="15" t="s">
        <v>173</v>
      </c>
      <c r="Q47" s="2" t="e">
        <f>(Q46*B2)/1000</f>
        <v>#DIV/0!</v>
      </c>
    </row>
    <row r="48" spans="1:17" ht="12.75">
      <c r="A48" s="13" t="s">
        <v>33</v>
      </c>
      <c r="B48" s="14"/>
      <c r="J48" s="15" t="s">
        <v>174</v>
      </c>
      <c r="K48" s="28" t="e">
        <f>E4*K13</f>
        <v>#DIV/0!</v>
      </c>
      <c r="P48" s="15" t="s">
        <v>174</v>
      </c>
      <c r="Q48" s="28" t="e">
        <f>E4*Q13</f>
        <v>#DIV/0!</v>
      </c>
    </row>
    <row r="49" spans="1:17" ht="14.25">
      <c r="A49" s="6" t="s">
        <v>35</v>
      </c>
      <c r="B49" s="2">
        <v>0</v>
      </c>
      <c r="J49" s="15" t="s">
        <v>175</v>
      </c>
      <c r="K49" s="2" t="e">
        <f>(K48*B2)/1000</f>
        <v>#DIV/0!</v>
      </c>
      <c r="P49" s="15" t="s">
        <v>175</v>
      </c>
      <c r="Q49" s="2" t="e">
        <f>(Q48*B2)/1000</f>
        <v>#DIV/0!</v>
      </c>
    </row>
    <row r="50" spans="1:16" ht="12.75">
      <c r="A50" s="15" t="s">
        <v>34</v>
      </c>
      <c r="B50" s="2">
        <v>0</v>
      </c>
      <c r="J50" s="4" t="s">
        <v>23</v>
      </c>
      <c r="P50" s="4" t="s">
        <v>23</v>
      </c>
    </row>
    <row r="51" spans="10:17" ht="12.75">
      <c r="J51" s="15" t="s">
        <v>172</v>
      </c>
      <c r="K51" s="29" t="e">
        <f>B26*K18*H15</f>
        <v>#DIV/0!</v>
      </c>
      <c r="P51" s="15" t="s">
        <v>172</v>
      </c>
      <c r="Q51" s="29" t="e">
        <f>B26*Q18*H15</f>
        <v>#DIV/0!</v>
      </c>
    </row>
    <row r="52" spans="1:17" ht="12.75">
      <c r="A52" s="9" t="s">
        <v>223</v>
      </c>
      <c r="B52" s="2"/>
      <c r="J52" s="15" t="s">
        <v>173</v>
      </c>
      <c r="K52" s="2" t="e">
        <f>(K51*B2)/1000</f>
        <v>#DIV/0!</v>
      </c>
      <c r="P52" s="15" t="s">
        <v>173</v>
      </c>
      <c r="Q52" s="2" t="e">
        <f>(Q51*B2)/1000</f>
        <v>#DIV/0!</v>
      </c>
    </row>
    <row r="53" spans="1:17" ht="12.75">
      <c r="A53" s="9" t="s">
        <v>224</v>
      </c>
      <c r="B53" s="28"/>
      <c r="J53" s="15" t="s">
        <v>174</v>
      </c>
      <c r="K53" s="29" t="e">
        <f>E5*K18</f>
        <v>#DIV/0!</v>
      </c>
      <c r="P53" s="15" t="s">
        <v>174</v>
      </c>
      <c r="Q53" s="29" t="e">
        <f>E5*Q18</f>
        <v>#DIV/0!</v>
      </c>
    </row>
    <row r="54" spans="10:17" ht="12.75">
      <c r="J54" s="15" t="s">
        <v>175</v>
      </c>
      <c r="K54" s="2" t="e">
        <f>(K53*B2)/1000</f>
        <v>#DIV/0!</v>
      </c>
      <c r="P54" s="15" t="s">
        <v>175</v>
      </c>
      <c r="Q54" s="2" t="e">
        <f>(Q53*B2)/1000</f>
        <v>#DIV/0!</v>
      </c>
    </row>
    <row r="55" spans="1:16" ht="12.75">
      <c r="A55" s="39"/>
      <c r="B55" s="3"/>
      <c r="J55" s="4" t="s">
        <v>19</v>
      </c>
      <c r="P55" s="4" t="s">
        <v>19</v>
      </c>
    </row>
    <row r="56" spans="1:17" ht="12.75">
      <c r="A56" s="8" t="s">
        <v>255</v>
      </c>
      <c r="B56" s="41"/>
      <c r="J56" s="15" t="s">
        <v>172</v>
      </c>
      <c r="K56" s="28" t="e">
        <f>B24*K23*H19</f>
        <v>#DIV/0!</v>
      </c>
      <c r="P56" s="15" t="s">
        <v>172</v>
      </c>
      <c r="Q56" s="28" t="e">
        <f>B24*Q23*H19</f>
        <v>#DIV/0!</v>
      </c>
    </row>
    <row r="57" spans="1:17" ht="12.75">
      <c r="A57" s="8" t="s">
        <v>256</v>
      </c>
      <c r="B57" s="28"/>
      <c r="J57" s="15" t="s">
        <v>173</v>
      </c>
      <c r="K57" s="2" t="e">
        <f>(K52*B2)/1000</f>
        <v>#DIV/0!</v>
      </c>
      <c r="P57" s="15" t="s">
        <v>173</v>
      </c>
      <c r="Q57" s="2" t="e">
        <f>(Q52*B2)/1000</f>
        <v>#DIV/0!</v>
      </c>
    </row>
    <row r="58" spans="10:17" ht="12.75">
      <c r="J58" s="15" t="s">
        <v>174</v>
      </c>
      <c r="K58" s="28" t="e">
        <f>E6*K23</f>
        <v>#DIV/0!</v>
      </c>
      <c r="P58" s="15" t="s">
        <v>174</v>
      </c>
      <c r="Q58" s="28" t="e">
        <f>E6*Q23</f>
        <v>#DIV/0!</v>
      </c>
    </row>
    <row r="59" spans="10:17" ht="12.75">
      <c r="J59" s="15" t="s">
        <v>175</v>
      </c>
      <c r="K59" s="2" t="e">
        <f>(K58*B2)/1000</f>
        <v>#DIV/0!</v>
      </c>
      <c r="P59" s="15" t="s">
        <v>175</v>
      </c>
      <c r="Q59" s="2" t="e">
        <f>(Q58*B2)/1000</f>
        <v>#DIV/0!</v>
      </c>
    </row>
    <row r="61" spans="10:17" ht="12.75">
      <c r="J61" s="15" t="s">
        <v>176</v>
      </c>
      <c r="K61" s="29" t="e">
        <f>K36+K41+K46+K51+K56</f>
        <v>#DIV/0!</v>
      </c>
      <c r="P61" s="15" t="s">
        <v>176</v>
      </c>
      <c r="Q61" s="29" t="e">
        <f>Q36+Q41+Q46+Q51+Q56</f>
        <v>#DIV/0!</v>
      </c>
    </row>
    <row r="62" spans="10:17" ht="12.75">
      <c r="J62" s="15" t="s">
        <v>177</v>
      </c>
      <c r="K62" s="29" t="e">
        <f>K38+K43+K48+K53+K58</f>
        <v>#DIV/0!</v>
      </c>
      <c r="P62" s="15" t="s">
        <v>177</v>
      </c>
      <c r="Q62" s="29" t="e">
        <f>Q38+Q43+Q48+Q53+Q58</f>
        <v>#DIV/0!</v>
      </c>
    </row>
    <row r="63" spans="10:17" ht="12.75">
      <c r="J63" s="15" t="s">
        <v>178</v>
      </c>
      <c r="K63" s="2" t="e">
        <f>K37+K42+K47+K52+K57</f>
        <v>#DIV/0!</v>
      </c>
      <c r="P63" s="15" t="s">
        <v>178</v>
      </c>
      <c r="Q63" s="2" t="e">
        <f>Q37+Q42+Q47+Q52+Q57</f>
        <v>#DIV/0!</v>
      </c>
    </row>
    <row r="64" spans="10:17" ht="12.75">
      <c r="J64" s="15" t="s">
        <v>179</v>
      </c>
      <c r="K64" s="2" t="e">
        <f>K39+K44+K49+K54+K59</f>
        <v>#DIV/0!</v>
      </c>
      <c r="P64" s="15" t="s">
        <v>179</v>
      </c>
      <c r="Q64" s="2" t="e">
        <f>Q39+Q44+Q49+Q54+Q59</f>
        <v>#DIV/0!</v>
      </c>
    </row>
    <row r="65" spans="10:17" ht="12.75">
      <c r="J65" s="8" t="s">
        <v>183</v>
      </c>
      <c r="K65" s="32" t="e">
        <f>K61+K62</f>
        <v>#DIV/0!</v>
      </c>
      <c r="P65" s="8" t="s">
        <v>183</v>
      </c>
      <c r="Q65" s="32" t="e">
        <f>Q61+Q62</f>
        <v>#DIV/0!</v>
      </c>
    </row>
    <row r="66" spans="10:17" ht="12.75">
      <c r="J66" s="8" t="s">
        <v>186</v>
      </c>
      <c r="K66" s="8" t="e">
        <f>K63+K64</f>
        <v>#DIV/0!</v>
      </c>
      <c r="P66" s="8" t="s">
        <v>186</v>
      </c>
      <c r="Q66" s="8" t="e">
        <f>Q63+Q64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38.28125" style="0" bestFit="1" customWidth="1"/>
    <col min="2" max="2" width="17.57421875" style="0" bestFit="1" customWidth="1"/>
    <col min="4" max="4" width="35.7109375" style="0" bestFit="1" customWidth="1"/>
    <col min="5" max="5" width="21.140625" style="0" bestFit="1" customWidth="1"/>
    <col min="6" max="6" width="11.140625" style="0" bestFit="1" customWidth="1"/>
    <col min="7" max="7" width="28.00390625" style="0" bestFit="1" customWidth="1"/>
    <col min="8" max="8" width="18.8515625" style="0" bestFit="1" customWidth="1"/>
    <col min="10" max="10" width="32.57421875" style="0" bestFit="1" customWidth="1"/>
    <col min="11" max="11" width="20.8515625" style="0" bestFit="1" customWidth="1"/>
    <col min="13" max="13" width="38.57421875" style="0" bestFit="1" customWidth="1"/>
    <col min="14" max="14" width="13.28125" style="0" bestFit="1" customWidth="1"/>
    <col min="16" max="16" width="32.57421875" style="0" bestFit="1" customWidth="1"/>
    <col min="17" max="17" width="20.8515625" style="0" bestFit="1" customWidth="1"/>
    <col min="19" max="19" width="26.8515625" style="0" bestFit="1" customWidth="1"/>
    <col min="20" max="20" width="11.8515625" style="0" bestFit="1" customWidth="1"/>
    <col min="22" max="22" width="26.8515625" style="0" bestFit="1" customWidth="1"/>
    <col min="23" max="23" width="31.7109375" style="0" bestFit="1" customWidth="1"/>
    <col min="24" max="24" width="12.57421875" style="0" bestFit="1" customWidth="1"/>
  </cols>
  <sheetData>
    <row r="1" spans="1:24" ht="12.75">
      <c r="A1" s="9" t="s">
        <v>0</v>
      </c>
      <c r="B1" s="9" t="s">
        <v>331</v>
      </c>
      <c r="D1" s="9" t="s">
        <v>36</v>
      </c>
      <c r="E1" s="8" t="s">
        <v>272</v>
      </c>
      <c r="G1" s="17" t="s">
        <v>66</v>
      </c>
      <c r="J1" s="1" t="s">
        <v>115</v>
      </c>
      <c r="M1" s="1" t="s">
        <v>199</v>
      </c>
      <c r="N1" s="23"/>
      <c r="P1" s="10" t="s">
        <v>115</v>
      </c>
      <c r="Q1" s="11" t="s">
        <v>263</v>
      </c>
      <c r="S1" s="1" t="s">
        <v>199</v>
      </c>
      <c r="T1" s="23"/>
      <c r="V1" s="4" t="s">
        <v>212</v>
      </c>
      <c r="W1" s="1" t="s">
        <v>22</v>
      </c>
      <c r="X1" s="1" t="s">
        <v>219</v>
      </c>
    </row>
    <row r="2" spans="1:22" ht="12.75">
      <c r="A2" s="2" t="s">
        <v>2</v>
      </c>
      <c r="B2" s="2">
        <v>63.55</v>
      </c>
      <c r="D2" s="2" t="s">
        <v>14</v>
      </c>
      <c r="E2" s="56">
        <f>B23/B30</f>
        <v>3500</v>
      </c>
      <c r="G2" s="1" t="s">
        <v>250</v>
      </c>
      <c r="J2" s="1" t="s">
        <v>14</v>
      </c>
      <c r="M2" s="4" t="s">
        <v>14</v>
      </c>
      <c r="N2" s="3"/>
      <c r="P2" s="1" t="s">
        <v>257</v>
      </c>
      <c r="Q2" s="1" t="s">
        <v>262</v>
      </c>
      <c r="S2" s="4" t="s">
        <v>264</v>
      </c>
      <c r="T2" s="3"/>
      <c r="V2" s="1" t="s">
        <v>14</v>
      </c>
    </row>
    <row r="3" spans="1:24" ht="12.75">
      <c r="A3" s="2" t="s">
        <v>3</v>
      </c>
      <c r="B3" s="2">
        <v>25</v>
      </c>
      <c r="D3" s="2" t="s">
        <v>20</v>
      </c>
      <c r="E3" s="56">
        <f>B25/B31</f>
        <v>100.3</v>
      </c>
      <c r="G3" s="2" t="s">
        <v>67</v>
      </c>
      <c r="H3" s="2">
        <f>LN(2)/B14</f>
        <v>6.931471805599453E-14</v>
      </c>
      <c r="J3" s="2" t="s">
        <v>273</v>
      </c>
      <c r="K3" s="2">
        <f>H30*E33</f>
        <v>0</v>
      </c>
      <c r="M3" s="8" t="s">
        <v>200</v>
      </c>
      <c r="N3" s="29">
        <f>(100*K43)/K77</f>
        <v>0</v>
      </c>
      <c r="P3" s="2" t="s">
        <v>273</v>
      </c>
      <c r="Q3" s="2">
        <f>H31*E33</f>
        <v>0</v>
      </c>
      <c r="S3" s="8" t="s">
        <v>200</v>
      </c>
      <c r="T3" s="29">
        <f>(100*Q43)/Q77</f>
        <v>0</v>
      </c>
      <c r="V3" s="8" t="s">
        <v>215</v>
      </c>
      <c r="W3" s="48" t="e">
        <f>Q4/(Q43+Q45)</f>
        <v>#DIV/0!</v>
      </c>
      <c r="X3" s="63" t="e">
        <f>W3/24</f>
        <v>#DIV/0!</v>
      </c>
    </row>
    <row r="4" spans="1:24" ht="12.75">
      <c r="A4" s="2" t="s">
        <v>4</v>
      </c>
      <c r="B4" s="2">
        <f>273.15+B3</f>
        <v>298.15</v>
      </c>
      <c r="D4" s="2" t="s">
        <v>18</v>
      </c>
      <c r="E4" s="57">
        <f>B27/B32</f>
        <v>0.001</v>
      </c>
      <c r="G4" s="2" t="s">
        <v>82</v>
      </c>
      <c r="H4" s="29">
        <f>B23*E33*H3</f>
        <v>0</v>
      </c>
      <c r="J4" s="2" t="s">
        <v>118</v>
      </c>
      <c r="K4" s="29">
        <f>K3*B23</f>
        <v>0</v>
      </c>
      <c r="M4" s="8" t="s">
        <v>201</v>
      </c>
      <c r="N4" s="29">
        <f>(100*K45)/K77</f>
        <v>0</v>
      </c>
      <c r="P4" s="2" t="s">
        <v>118</v>
      </c>
      <c r="Q4" s="29">
        <f>Q3*B23</f>
        <v>0</v>
      </c>
      <c r="S4" s="8" t="s">
        <v>201</v>
      </c>
      <c r="T4" s="29">
        <f>(100*Q45)/Q77</f>
        <v>0</v>
      </c>
      <c r="V4" s="36" t="s">
        <v>20</v>
      </c>
      <c r="W4" s="61"/>
      <c r="X4" s="60"/>
    </row>
    <row r="5" spans="1:24" ht="12.75">
      <c r="A5" s="2" t="s">
        <v>6</v>
      </c>
      <c r="B5" s="2" t="s">
        <v>332</v>
      </c>
      <c r="D5" s="2" t="s">
        <v>23</v>
      </c>
      <c r="E5" s="6">
        <f>B26/B31</f>
        <v>0.0006687001</v>
      </c>
      <c r="G5" s="2" t="s">
        <v>83</v>
      </c>
      <c r="H5" s="29">
        <f>E2*E33</f>
        <v>0</v>
      </c>
      <c r="J5" s="2" t="s">
        <v>116</v>
      </c>
      <c r="K5" s="35">
        <f>K4*B2/1000</f>
        <v>0</v>
      </c>
      <c r="M5" s="4" t="s">
        <v>20</v>
      </c>
      <c r="N5" s="3"/>
      <c r="P5" s="2" t="s">
        <v>116</v>
      </c>
      <c r="Q5" s="35">
        <f>Q4*B2/1000</f>
        <v>0</v>
      </c>
      <c r="S5" s="4" t="s">
        <v>259</v>
      </c>
      <c r="T5" s="3"/>
      <c r="V5" s="8" t="s">
        <v>215</v>
      </c>
      <c r="W5" s="48">
        <f>Q9/(Q48+Q50)</f>
        <v>99.99999999930685</v>
      </c>
      <c r="X5" s="63">
        <f>W5/24</f>
        <v>4.166666666637785</v>
      </c>
    </row>
    <row r="6" spans="1:24" ht="12.75">
      <c r="A6" s="2" t="s">
        <v>7</v>
      </c>
      <c r="B6" s="2" t="s">
        <v>332</v>
      </c>
      <c r="D6" s="2" t="s">
        <v>19</v>
      </c>
      <c r="E6" s="57">
        <f>B24/B30</f>
        <v>9.345E-08</v>
      </c>
      <c r="G6" s="1" t="s">
        <v>20</v>
      </c>
      <c r="J6" s="2" t="s">
        <v>121</v>
      </c>
      <c r="K6" s="2">
        <f>K3*B2</f>
        <v>0</v>
      </c>
      <c r="M6" s="8" t="s">
        <v>200</v>
      </c>
      <c r="N6" s="29">
        <f>(100*K48)/K77</f>
        <v>7.035516619976379E-12</v>
      </c>
      <c r="P6" s="2" t="s">
        <v>121</v>
      </c>
      <c r="Q6" s="2">
        <f>Q3*B2</f>
        <v>0</v>
      </c>
      <c r="S6" s="8" t="s">
        <v>200</v>
      </c>
      <c r="T6" s="29">
        <f>(100*Q48)/Q77</f>
        <v>7.035516619976379E-12</v>
      </c>
      <c r="V6" s="4" t="s">
        <v>18</v>
      </c>
      <c r="W6" s="62"/>
      <c r="X6" s="60"/>
    </row>
    <row r="7" spans="1:24" ht="12.75">
      <c r="A7" s="2" t="s">
        <v>249</v>
      </c>
      <c r="B7" s="28">
        <v>1E-06</v>
      </c>
      <c r="D7" s="53" t="s">
        <v>282</v>
      </c>
      <c r="E7" s="6">
        <f>B28/B31</f>
        <v>1E-05</v>
      </c>
      <c r="G7" s="2" t="s">
        <v>67</v>
      </c>
      <c r="H7" s="2">
        <f>LN(2)/B16</f>
        <v>6.931471805599453E-14</v>
      </c>
      <c r="J7" s="1" t="s">
        <v>20</v>
      </c>
      <c r="M7" s="8" t="s">
        <v>201</v>
      </c>
      <c r="N7" s="29">
        <f>(100*K50)/K77</f>
        <v>1.0150104937731803</v>
      </c>
      <c r="P7" s="1" t="s">
        <v>259</v>
      </c>
      <c r="S7" s="8" t="s">
        <v>201</v>
      </c>
      <c r="T7" s="29">
        <f>(100*K50)/K77</f>
        <v>1.0150104937731803</v>
      </c>
      <c r="V7" s="9" t="s">
        <v>215</v>
      </c>
      <c r="W7" s="48">
        <f>Q14/(Q53+Q55)</f>
        <v>49999.9998267132</v>
      </c>
      <c r="X7" s="63">
        <f>W7/24</f>
        <v>2083.33332611305</v>
      </c>
    </row>
    <row r="8" spans="1:24" ht="12.75">
      <c r="A8" s="2" t="s">
        <v>316</v>
      </c>
      <c r="B8" s="2">
        <v>1083</v>
      </c>
      <c r="D8" s="9" t="s">
        <v>45</v>
      </c>
      <c r="E8" s="9" t="s">
        <v>274</v>
      </c>
      <c r="G8" s="2" t="s">
        <v>86</v>
      </c>
      <c r="H8" s="29">
        <f>B25*E34*H7</f>
        <v>6.952266221016251E-10</v>
      </c>
      <c r="J8" s="2" t="s">
        <v>273</v>
      </c>
      <c r="K8" s="29">
        <f>H30*E34</f>
        <v>3.3003838224149035E-08</v>
      </c>
      <c r="M8" s="4" t="s">
        <v>18</v>
      </c>
      <c r="P8" s="2" t="s">
        <v>273</v>
      </c>
      <c r="Q8" s="29">
        <f>H31*E34</f>
        <v>3.3003838224149035E-08</v>
      </c>
      <c r="S8" s="4" t="s">
        <v>258</v>
      </c>
      <c r="V8" s="4" t="s">
        <v>23</v>
      </c>
      <c r="W8" s="62"/>
      <c r="X8" s="60"/>
    </row>
    <row r="9" spans="1:24" ht="12.75">
      <c r="A9" s="2" t="s">
        <v>8</v>
      </c>
      <c r="B9" s="2">
        <v>8</v>
      </c>
      <c r="D9" s="2" t="s">
        <v>14</v>
      </c>
      <c r="E9" s="2">
        <f>(B49*10^-9)/B2</f>
        <v>0</v>
      </c>
      <c r="G9" s="2" t="s">
        <v>87</v>
      </c>
      <c r="H9" s="29">
        <f>E3*E34</f>
        <v>100.3</v>
      </c>
      <c r="J9" s="2" t="s">
        <v>118</v>
      </c>
      <c r="K9" s="29">
        <f>K8*B25</f>
        <v>0.00033102849738821485</v>
      </c>
      <c r="M9" s="8" t="s">
        <v>200</v>
      </c>
      <c r="N9" s="29">
        <f>(100*K53)/K77</f>
        <v>5.458522755068013E-08</v>
      </c>
      <c r="P9" s="2" t="s">
        <v>118</v>
      </c>
      <c r="Q9" s="29">
        <f>Q8*B25</f>
        <v>0.00033102849738821485</v>
      </c>
      <c r="S9" s="8" t="s">
        <v>200</v>
      </c>
      <c r="T9" s="29">
        <f>(100*Q53)/Q77</f>
        <v>5.458522755068013E-08</v>
      </c>
      <c r="V9" s="8" t="s">
        <v>215</v>
      </c>
      <c r="W9" s="48">
        <f>Q19/(Q58+Q60)</f>
        <v>99.99999999930685</v>
      </c>
      <c r="X9" s="63">
        <f>W9/24</f>
        <v>4.166666666637785</v>
      </c>
    </row>
    <row r="10" spans="1:24" ht="12.75">
      <c r="A10" s="2" t="s">
        <v>9</v>
      </c>
      <c r="B10" s="2">
        <f>10^B9</f>
        <v>100000000</v>
      </c>
      <c r="D10" s="2" t="s">
        <v>20</v>
      </c>
      <c r="E10" s="2">
        <f>(B50*10^-9)/B2</f>
        <v>0</v>
      </c>
      <c r="G10" s="1" t="s">
        <v>18</v>
      </c>
      <c r="J10" s="2" t="s">
        <v>116</v>
      </c>
      <c r="K10" s="2">
        <f>(K9*B2)/1000</f>
        <v>2.1036861009021052E-05</v>
      </c>
      <c r="M10" s="8" t="s">
        <v>201</v>
      </c>
      <c r="N10" s="29">
        <f>(100*K55)/K77</f>
        <v>15.749967418632371</v>
      </c>
      <c r="P10" s="2" t="s">
        <v>116</v>
      </c>
      <c r="Q10" s="2">
        <f>(Q9*B2)/1000</f>
        <v>2.1036861009021052E-05</v>
      </c>
      <c r="S10" s="8" t="s">
        <v>201</v>
      </c>
      <c r="T10" s="29">
        <f>(100*Q55)/Q77</f>
        <v>15.749967418632371</v>
      </c>
      <c r="V10" s="4" t="s">
        <v>19</v>
      </c>
      <c r="W10" s="62"/>
      <c r="X10" s="60"/>
    </row>
    <row r="11" spans="1:24" ht="12.75">
      <c r="A11" s="2" t="s">
        <v>11</v>
      </c>
      <c r="B11" s="2">
        <f>0.41*B10</f>
        <v>41000000</v>
      </c>
      <c r="G11" s="2" t="s">
        <v>67</v>
      </c>
      <c r="H11" s="2">
        <f>LN(2)/B18</f>
        <v>6.931471805599453E-14</v>
      </c>
      <c r="J11" s="2" t="s">
        <v>121</v>
      </c>
      <c r="K11" s="29">
        <f>K8*B2</f>
        <v>2.097393919144671E-06</v>
      </c>
      <c r="M11" s="4" t="s">
        <v>23</v>
      </c>
      <c r="P11" s="2" t="s">
        <v>121</v>
      </c>
      <c r="Q11" s="29">
        <f>Q8*B2</f>
        <v>2.097393919144671E-06</v>
      </c>
      <c r="S11" s="4" t="s">
        <v>260</v>
      </c>
      <c r="V11" s="8" t="s">
        <v>215</v>
      </c>
      <c r="W11" s="48" t="e">
        <f>Q24/(Q63+Q65)</f>
        <v>#DIV/0!</v>
      </c>
      <c r="X11" s="63" t="e">
        <f>W11/24</f>
        <v>#DIV/0!</v>
      </c>
    </row>
    <row r="12" spans="1:24" ht="12.75">
      <c r="A12" s="53" t="s">
        <v>283</v>
      </c>
      <c r="B12" s="51">
        <v>0.05</v>
      </c>
      <c r="D12" s="9" t="s">
        <v>46</v>
      </c>
      <c r="E12" s="9" t="s">
        <v>275</v>
      </c>
      <c r="G12" s="2" t="s">
        <v>89</v>
      </c>
      <c r="H12" s="28">
        <f>B27*E35*H11</f>
        <v>5.393932729681382E-06</v>
      </c>
      <c r="J12" s="1" t="s">
        <v>18</v>
      </c>
      <c r="M12" s="8" t="s">
        <v>200</v>
      </c>
      <c r="N12" s="29">
        <f>(100*K58)/K77</f>
        <v>5.769412084562048E-10</v>
      </c>
      <c r="P12" s="1" t="s">
        <v>258</v>
      </c>
      <c r="S12" s="8" t="s">
        <v>200</v>
      </c>
      <c r="T12" s="29">
        <f>(100*Q58)/Q77</f>
        <v>5.769412084562048E-10</v>
      </c>
      <c r="V12" s="4" t="s">
        <v>282</v>
      </c>
      <c r="W12" s="59"/>
      <c r="X12" s="60"/>
    </row>
    <row r="13" spans="1:24" ht="12.75">
      <c r="A13" s="8" t="s">
        <v>21</v>
      </c>
      <c r="B13" s="9" t="s">
        <v>22</v>
      </c>
      <c r="D13" s="2" t="s">
        <v>14</v>
      </c>
      <c r="E13" s="2">
        <f>(E9*B2)/1000</f>
        <v>0</v>
      </c>
      <c r="G13" s="2" t="s">
        <v>90</v>
      </c>
      <c r="H13" s="28">
        <f>E4*E35</f>
        <v>1556.3600000000001</v>
      </c>
      <c r="J13" s="2" t="s">
        <v>273</v>
      </c>
      <c r="K13" s="29">
        <f>H30*E35</f>
        <v>0.05136585365853659</v>
      </c>
      <c r="M13" s="8" t="s">
        <v>201</v>
      </c>
      <c r="N13" s="29">
        <f>(100*K60)/K77</f>
        <v>83.23502203242525</v>
      </c>
      <c r="P13" s="2" t="s">
        <v>273</v>
      </c>
      <c r="Q13" s="29">
        <f>H31*E35</f>
        <v>0.05136585365853659</v>
      </c>
      <c r="S13" s="8" t="s">
        <v>201</v>
      </c>
      <c r="T13" s="29">
        <f>(100*Q60)/Q77</f>
        <v>83.23502203242525</v>
      </c>
      <c r="V13" s="8" t="s">
        <v>215</v>
      </c>
      <c r="W13" s="48" t="e">
        <f>Q29/(Q68+Q70)</f>
        <v>#DIV/0!</v>
      </c>
      <c r="X13" s="63" t="e">
        <f>W13/24</f>
        <v>#DIV/0!</v>
      </c>
    </row>
    <row r="14" spans="1:19" ht="12.75">
      <c r="A14" s="6" t="s">
        <v>14</v>
      </c>
      <c r="B14" s="28">
        <v>10000000000000</v>
      </c>
      <c r="D14" s="2" t="s">
        <v>20</v>
      </c>
      <c r="E14" s="2">
        <f>(E10*B2)/1000</f>
        <v>0</v>
      </c>
      <c r="G14" s="1" t="s">
        <v>94</v>
      </c>
      <c r="J14" s="2" t="s">
        <v>118</v>
      </c>
      <c r="K14" s="29">
        <f>K13*B27</f>
        <v>2.5682926829268293</v>
      </c>
      <c r="M14" s="4" t="s">
        <v>19</v>
      </c>
      <c r="P14" s="2" t="s">
        <v>118</v>
      </c>
      <c r="Q14" s="29">
        <f>Q13*B27</f>
        <v>2.5682926829268293</v>
      </c>
      <c r="S14" s="4" t="s">
        <v>265</v>
      </c>
    </row>
    <row r="15" spans="1:22" ht="12.75">
      <c r="A15" s="6" t="s">
        <v>19</v>
      </c>
      <c r="B15" s="2">
        <v>10000000000000</v>
      </c>
      <c r="G15" s="2" t="s">
        <v>67</v>
      </c>
      <c r="H15" s="2">
        <f>LN(2)/B17</f>
        <v>6.931471805599453E-14</v>
      </c>
      <c r="J15" s="2" t="s">
        <v>116</v>
      </c>
      <c r="K15" s="2">
        <f>K14*B2/1000</f>
        <v>0.163215</v>
      </c>
      <c r="M15" s="8" t="s">
        <v>200</v>
      </c>
      <c r="N15" s="29">
        <f>(100*K63)/K77</f>
        <v>0</v>
      </c>
      <c r="P15" s="2" t="s">
        <v>116</v>
      </c>
      <c r="Q15" s="2">
        <f>Q14*B2/1000</f>
        <v>0.163215</v>
      </c>
      <c r="S15" s="8" t="s">
        <v>200</v>
      </c>
      <c r="T15" s="29">
        <f>(100*Q63)/Q77</f>
        <v>0</v>
      </c>
      <c r="V15" s="4" t="s">
        <v>293</v>
      </c>
    </row>
    <row r="16" spans="1:24" ht="12.75">
      <c r="A16" s="6" t="s">
        <v>20</v>
      </c>
      <c r="B16" s="2">
        <v>10000000000000</v>
      </c>
      <c r="D16" s="9" t="s">
        <v>57</v>
      </c>
      <c r="E16" s="9" t="s">
        <v>50</v>
      </c>
      <c r="G16" s="2" t="s">
        <v>95</v>
      </c>
      <c r="H16" s="2">
        <f>B26*E36*H15</f>
        <v>5.701143344148387E-08</v>
      </c>
      <c r="J16" s="2" t="s">
        <v>121</v>
      </c>
      <c r="K16" s="29">
        <f>K13*B2</f>
        <v>3.2643</v>
      </c>
      <c r="M16" s="8" t="s">
        <v>201</v>
      </c>
      <c r="N16" s="29">
        <f>(100*K65)/K77</f>
        <v>0</v>
      </c>
      <c r="P16" s="2" t="s">
        <v>121</v>
      </c>
      <c r="Q16" s="29">
        <f>Q13*B2</f>
        <v>3.2643</v>
      </c>
      <c r="S16" s="8" t="s">
        <v>201</v>
      </c>
      <c r="T16" s="29">
        <f>(100*Q65)/Q77</f>
        <v>0</v>
      </c>
      <c r="V16" s="4"/>
      <c r="W16" s="1" t="s">
        <v>295</v>
      </c>
      <c r="X16" s="1" t="s">
        <v>311</v>
      </c>
    </row>
    <row r="17" spans="1:24" ht="12.75">
      <c r="A17" s="6" t="s">
        <v>23</v>
      </c>
      <c r="B17" s="2">
        <v>10000000000000</v>
      </c>
      <c r="D17" s="2" t="s">
        <v>14</v>
      </c>
      <c r="E17" s="55">
        <f>E2*E9</f>
        <v>0</v>
      </c>
      <c r="G17" s="2" t="s">
        <v>96</v>
      </c>
      <c r="H17" s="2">
        <f>E5*E36</f>
        <v>8225.01123</v>
      </c>
      <c r="J17" s="1" t="s">
        <v>23</v>
      </c>
      <c r="M17" s="4" t="s">
        <v>282</v>
      </c>
      <c r="N17" s="58"/>
      <c r="P17" s="1" t="s">
        <v>260</v>
      </c>
      <c r="S17" s="4" t="s">
        <v>282</v>
      </c>
      <c r="T17" s="58"/>
      <c r="V17" s="65" t="s">
        <v>18</v>
      </c>
      <c r="W17" s="28">
        <f>B61</f>
        <v>2.5682926829268298</v>
      </c>
      <c r="X17" s="73">
        <f>W17/B27</f>
        <v>0.051365853658536596</v>
      </c>
    </row>
    <row r="18" spans="1:24" ht="12.75">
      <c r="A18" s="6" t="s">
        <v>18</v>
      </c>
      <c r="B18" s="2">
        <v>10000000000000</v>
      </c>
      <c r="D18" s="2" t="s">
        <v>20</v>
      </c>
      <c r="E18" s="55">
        <f>E3*E10</f>
        <v>0</v>
      </c>
      <c r="G18" s="1" t="s">
        <v>19</v>
      </c>
      <c r="J18" s="2" t="s">
        <v>273</v>
      </c>
      <c r="K18" s="29">
        <f>H30*E36</f>
        <v>0.4059472101570331</v>
      </c>
      <c r="M18" s="8" t="s">
        <v>200</v>
      </c>
      <c r="N18" s="56">
        <f>(100*K68)/K77</f>
        <v>0</v>
      </c>
      <c r="P18" s="2" t="s">
        <v>273</v>
      </c>
      <c r="Q18" s="29">
        <f>H31*E36</f>
        <v>0.4059472101570331</v>
      </c>
      <c r="S18" s="8" t="s">
        <v>200</v>
      </c>
      <c r="T18" s="56">
        <f>(100*Q68)/Q77</f>
        <v>0</v>
      </c>
      <c r="V18" s="66" t="s">
        <v>294</v>
      </c>
      <c r="W18" s="74">
        <f>(100/T24)*W17</f>
        <v>2.5957694054268905</v>
      </c>
      <c r="X18" s="1" t="s">
        <v>314</v>
      </c>
    </row>
    <row r="19" spans="1:23" ht="12.75">
      <c r="A19" s="15" t="s">
        <v>282</v>
      </c>
      <c r="B19" s="2">
        <v>10000000000000</v>
      </c>
      <c r="D19" s="6" t="s">
        <v>53</v>
      </c>
      <c r="E19" s="54">
        <v>0</v>
      </c>
      <c r="G19" s="2" t="s">
        <v>67</v>
      </c>
      <c r="H19" s="2">
        <f>LN(2)/B15</f>
        <v>6.931471805599453E-14</v>
      </c>
      <c r="J19" s="2" t="s">
        <v>118</v>
      </c>
      <c r="K19" s="29">
        <f>K18*B26</f>
        <v>0.0271456940026729</v>
      </c>
      <c r="M19" s="8" t="s">
        <v>201</v>
      </c>
      <c r="N19" s="56">
        <f>(100*K70)/K77</f>
        <v>0</v>
      </c>
      <c r="P19" s="2" t="s">
        <v>118</v>
      </c>
      <c r="Q19" s="29">
        <f>Q18*B26</f>
        <v>0.0271456940026729</v>
      </c>
      <c r="S19" s="8" t="s">
        <v>201</v>
      </c>
      <c r="T19" s="56">
        <f>(100*Q70)/Q77</f>
        <v>0</v>
      </c>
      <c r="V19" s="65" t="s">
        <v>14</v>
      </c>
      <c r="W19" s="68">
        <f>(T22/100)*W18</f>
        <v>0</v>
      </c>
    </row>
    <row r="20" spans="1:24" ht="12.75">
      <c r="A20" s="4" t="s">
        <v>13</v>
      </c>
      <c r="B20" s="3"/>
      <c r="D20" s="6" t="s">
        <v>18</v>
      </c>
      <c r="E20" s="54">
        <v>0</v>
      </c>
      <c r="G20" s="2" t="s">
        <v>111</v>
      </c>
      <c r="H20" s="28">
        <f>B24*E37*H19</f>
        <v>0</v>
      </c>
      <c r="J20" s="2" t="s">
        <v>116</v>
      </c>
      <c r="K20" s="2">
        <f>K19*B2/1000</f>
        <v>0.001725108853869863</v>
      </c>
      <c r="M20" s="39"/>
      <c r="N20" s="40"/>
      <c r="P20" s="2" t="s">
        <v>116</v>
      </c>
      <c r="Q20" s="2">
        <f>Q19*B2/1000</f>
        <v>0.001725108853869863</v>
      </c>
      <c r="V20" s="65" t="s">
        <v>20</v>
      </c>
      <c r="W20" s="28">
        <f>(T23/100)*W18</f>
        <v>0.0003310284973882148</v>
      </c>
      <c r="X20" s="73">
        <f>W20/B25</f>
        <v>3.3003838224149035E-08</v>
      </c>
    </row>
    <row r="21" spans="1:23" ht="12.75">
      <c r="A21" s="8" t="s">
        <v>322</v>
      </c>
      <c r="B21" s="2">
        <v>10.03</v>
      </c>
      <c r="D21" s="53" t="s">
        <v>282</v>
      </c>
      <c r="E21" s="2">
        <v>0</v>
      </c>
      <c r="G21" s="2" t="s">
        <v>112</v>
      </c>
      <c r="H21" s="28">
        <f>E6*E37</f>
        <v>0</v>
      </c>
      <c r="J21" s="2" t="s">
        <v>121</v>
      </c>
      <c r="K21" s="29">
        <f>K18*B2</f>
        <v>25.797945205479454</v>
      </c>
      <c r="M21" s="39"/>
      <c r="N21" s="40"/>
      <c r="P21" s="2" t="s">
        <v>121</v>
      </c>
      <c r="Q21" s="29">
        <f>Q18*B2</f>
        <v>25.797945205479454</v>
      </c>
      <c r="S21" s="1" t="s">
        <v>197</v>
      </c>
      <c r="T21" s="3"/>
      <c r="V21" s="65" t="s">
        <v>94</v>
      </c>
      <c r="W21" s="28">
        <f>(T25/100)*W18</f>
        <v>0.027145694002672898</v>
      </c>
    </row>
    <row r="22" spans="1:23" ht="14.25">
      <c r="A22" s="8" t="s">
        <v>321</v>
      </c>
      <c r="B22" s="9" t="s">
        <v>276</v>
      </c>
      <c r="D22" s="9" t="s">
        <v>62</v>
      </c>
      <c r="E22" s="9" t="s">
        <v>56</v>
      </c>
      <c r="G22" s="17" t="s">
        <v>282</v>
      </c>
      <c r="H22" s="2"/>
      <c r="J22" s="1" t="s">
        <v>19</v>
      </c>
      <c r="M22" s="39"/>
      <c r="N22" s="40"/>
      <c r="P22" s="1" t="s">
        <v>261</v>
      </c>
      <c r="S22" s="9" t="s">
        <v>193</v>
      </c>
      <c r="T22" s="31">
        <f>100*(Q4/Q33)</f>
        <v>0</v>
      </c>
      <c r="V22" s="65" t="s">
        <v>19</v>
      </c>
      <c r="W22" s="28">
        <f>(T26/100)*W18</f>
        <v>0</v>
      </c>
    </row>
    <row r="23" spans="1:23" ht="12.75">
      <c r="A23" s="6" t="s">
        <v>14</v>
      </c>
      <c r="B23" s="29">
        <f>1000*35</f>
        <v>35000</v>
      </c>
      <c r="D23" s="2" t="s">
        <v>14</v>
      </c>
      <c r="E23" s="2">
        <f>(E17*B2)/1000</f>
        <v>0</v>
      </c>
      <c r="G23" s="2" t="s">
        <v>67</v>
      </c>
      <c r="H23" s="2">
        <f>LN(2)/B19</f>
        <v>6.931471805599453E-14</v>
      </c>
      <c r="J23" s="2" t="s">
        <v>273</v>
      </c>
      <c r="K23" s="29">
        <f>H30*E37</f>
        <v>0</v>
      </c>
      <c r="M23" s="39"/>
      <c r="N23" s="40"/>
      <c r="P23" s="2" t="s">
        <v>273</v>
      </c>
      <c r="Q23" s="29">
        <f>H31*E37</f>
        <v>0</v>
      </c>
      <c r="S23" s="9" t="s">
        <v>198</v>
      </c>
      <c r="T23" s="31">
        <f>100*(Q9/Q33)</f>
        <v>0.012752615725269907</v>
      </c>
      <c r="V23" s="65" t="s">
        <v>282</v>
      </c>
      <c r="W23" s="28">
        <f>(T27/100)*W18</f>
        <v>0</v>
      </c>
    </row>
    <row r="24" spans="1:24" ht="12.75">
      <c r="A24" s="6" t="s">
        <v>15</v>
      </c>
      <c r="B24" s="28">
        <f>B23*0.0000000000267</f>
        <v>9.345E-07</v>
      </c>
      <c r="D24" s="2" t="s">
        <v>20</v>
      </c>
      <c r="E24" s="2">
        <f>(E18*B2)/1000</f>
        <v>0</v>
      </c>
      <c r="G24" s="2" t="s">
        <v>286</v>
      </c>
      <c r="H24" s="28">
        <f>B28*E38*H23</f>
        <v>0</v>
      </c>
      <c r="J24" s="2" t="s">
        <v>118</v>
      </c>
      <c r="K24" s="29">
        <f>K23*B24</f>
        <v>0</v>
      </c>
      <c r="P24" s="2" t="s">
        <v>118</v>
      </c>
      <c r="Q24" s="29">
        <f>Q23*B24</f>
        <v>0</v>
      </c>
      <c r="S24" s="9" t="s">
        <v>194</v>
      </c>
      <c r="T24" s="31">
        <f>100*(Q14/Q33)</f>
        <v>98.94148060907813</v>
      </c>
      <c r="W24" s="9" t="s">
        <v>312</v>
      </c>
      <c r="X24" s="31">
        <f>X17/X20</f>
        <v>1556360</v>
      </c>
    </row>
    <row r="25" spans="1:23" ht="12.75">
      <c r="A25" s="6" t="s">
        <v>16</v>
      </c>
      <c r="B25" s="56">
        <f>1000*B21</f>
        <v>10030</v>
      </c>
      <c r="D25" s="6" t="s">
        <v>53</v>
      </c>
      <c r="E25" s="2">
        <v>0</v>
      </c>
      <c r="G25" s="2" t="s">
        <v>287</v>
      </c>
      <c r="H25" s="28">
        <f>E7*E38</f>
        <v>0</v>
      </c>
      <c r="J25" s="2" t="s">
        <v>116</v>
      </c>
      <c r="K25" s="2">
        <f>K24*B2/1000</f>
        <v>0</v>
      </c>
      <c r="M25" s="4" t="s">
        <v>212</v>
      </c>
      <c r="N25" s="1" t="s">
        <v>22</v>
      </c>
      <c r="P25" s="2" t="s">
        <v>116</v>
      </c>
      <c r="Q25" s="2">
        <f>Q24*B2/1000</f>
        <v>0</v>
      </c>
      <c r="S25" s="9" t="s">
        <v>195</v>
      </c>
      <c r="T25" s="31">
        <f>100*(Q19/Q33)</f>
        <v>1.0457667751966058</v>
      </c>
      <c r="V25" s="10"/>
      <c r="W25" s="11"/>
    </row>
    <row r="26" spans="1:23" ht="12.75">
      <c r="A26" s="6" t="s">
        <v>17</v>
      </c>
      <c r="B26" s="28">
        <f>B25*0.000006667</f>
        <v>0.06687001</v>
      </c>
      <c r="D26" s="6" t="s">
        <v>18</v>
      </c>
      <c r="E26" s="2">
        <v>0</v>
      </c>
      <c r="J26" s="2" t="s">
        <v>121</v>
      </c>
      <c r="K26" s="29">
        <f>K23*B2</f>
        <v>0</v>
      </c>
      <c r="M26" s="8" t="s">
        <v>213</v>
      </c>
      <c r="N26" s="29">
        <f>K33/K73</f>
        <v>14426950408889.637</v>
      </c>
      <c r="P26" s="2" t="s">
        <v>121</v>
      </c>
      <c r="Q26" s="29">
        <f>Q23*B2</f>
        <v>0</v>
      </c>
      <c r="S26" s="9" t="s">
        <v>196</v>
      </c>
      <c r="T26" s="31">
        <f>100*(Q24/Q33)</f>
        <v>0</v>
      </c>
      <c r="V26" s="1" t="s">
        <v>301</v>
      </c>
      <c r="W26" s="1" t="s">
        <v>262</v>
      </c>
    </row>
    <row r="27" spans="1:23" ht="12.75">
      <c r="A27" s="6" t="s">
        <v>324</v>
      </c>
      <c r="B27" s="28">
        <f>1000*0.05</f>
        <v>50</v>
      </c>
      <c r="D27" s="51" t="s">
        <v>282</v>
      </c>
      <c r="E27" s="2">
        <v>0</v>
      </c>
      <c r="G27" s="2" t="s">
        <v>105</v>
      </c>
      <c r="H27" s="29">
        <f>H4+H8+H12+H16+H20+H24</f>
        <v>5.451639389744967E-06</v>
      </c>
      <c r="J27" s="4" t="s">
        <v>282</v>
      </c>
      <c r="M27" s="8" t="s">
        <v>214</v>
      </c>
      <c r="N27" s="33">
        <f>K33/K74</f>
        <v>7959.23374623343</v>
      </c>
      <c r="P27" s="4" t="s">
        <v>289</v>
      </c>
      <c r="Q27" s="58"/>
      <c r="S27" s="9" t="s">
        <v>290</v>
      </c>
      <c r="T27" s="31">
        <f>100*(Q29/Q33)</f>
        <v>0</v>
      </c>
      <c r="V27" s="2" t="s">
        <v>118</v>
      </c>
      <c r="W27" s="28">
        <f>W19</f>
        <v>0</v>
      </c>
    </row>
    <row r="28" spans="1:23" ht="12.75">
      <c r="A28" s="53" t="s">
        <v>282</v>
      </c>
      <c r="B28" s="28">
        <f>0.001</f>
        <v>0.001</v>
      </c>
      <c r="D28" s="46" t="s">
        <v>58</v>
      </c>
      <c r="E28" s="47">
        <f>B47+E17+E18</f>
        <v>0.0003261330788390728</v>
      </c>
      <c r="F28" s="1"/>
      <c r="G28" s="2" t="s">
        <v>106</v>
      </c>
      <c r="H28" s="29">
        <f>H5+H9+H13+H17+H21+H25</f>
        <v>9881.67123</v>
      </c>
      <c r="J28" s="6" t="s">
        <v>273</v>
      </c>
      <c r="K28" s="71">
        <f>H30*E38</f>
        <v>0</v>
      </c>
      <c r="M28" s="42" t="s">
        <v>215</v>
      </c>
      <c r="N28" s="45">
        <f>K33/K77</f>
        <v>7959.233741842384</v>
      </c>
      <c r="P28" s="6" t="s">
        <v>273</v>
      </c>
      <c r="Q28" s="33">
        <f>H31*E38</f>
        <v>0</v>
      </c>
      <c r="V28" s="2" t="s">
        <v>116</v>
      </c>
      <c r="W28" s="29">
        <f>(W27*B2)/1000</f>
        <v>0</v>
      </c>
    </row>
    <row r="29" spans="1:23" ht="12.75">
      <c r="A29" s="8" t="s">
        <v>24</v>
      </c>
      <c r="B29" s="9" t="s">
        <v>22</v>
      </c>
      <c r="D29" s="9" t="s">
        <v>63</v>
      </c>
      <c r="E29" s="31">
        <f>B46+E23+E24</f>
        <v>2.0725757160223075E-05</v>
      </c>
      <c r="F29" s="34"/>
      <c r="G29" s="46" t="s">
        <v>107</v>
      </c>
      <c r="H29" s="47">
        <f>H27+H28</f>
        <v>9881.671235451638</v>
      </c>
      <c r="J29" s="6" t="s">
        <v>118</v>
      </c>
      <c r="K29" s="29">
        <f>K28*B28</f>
        <v>0</v>
      </c>
      <c r="M29" s="2"/>
      <c r="N29" s="1" t="s">
        <v>219</v>
      </c>
      <c r="P29" s="6" t="s">
        <v>118</v>
      </c>
      <c r="Q29" s="56">
        <f>Q28*B28</f>
        <v>0</v>
      </c>
      <c r="S29" s="4" t="s">
        <v>212</v>
      </c>
      <c r="T29" s="1" t="s">
        <v>22</v>
      </c>
      <c r="V29" s="2" t="s">
        <v>273</v>
      </c>
      <c r="W29" s="29">
        <f>W27/B23</f>
        <v>0</v>
      </c>
    </row>
    <row r="30" spans="1:23" ht="12.75">
      <c r="A30" s="6" t="s">
        <v>14</v>
      </c>
      <c r="B30" s="2">
        <v>10</v>
      </c>
      <c r="G30" s="42" t="s">
        <v>253</v>
      </c>
      <c r="H30" s="44">
        <f>B57/F39</f>
        <v>3.3003838224149035E-08</v>
      </c>
      <c r="J30" s="6" t="s">
        <v>116</v>
      </c>
      <c r="K30" s="29">
        <f>K29*B2/1000</f>
        <v>0</v>
      </c>
      <c r="M30" s="8" t="s">
        <v>213</v>
      </c>
      <c r="N30" s="29">
        <f>N26/24</f>
        <v>601122933703.7349</v>
      </c>
      <c r="P30" s="6" t="s">
        <v>116</v>
      </c>
      <c r="Q30" s="56">
        <f>Q29*B2/1000</f>
        <v>0</v>
      </c>
      <c r="S30" s="8" t="s">
        <v>213</v>
      </c>
      <c r="T30" s="29">
        <f>Q33/Q73</f>
        <v>14426950408889.637</v>
      </c>
      <c r="V30" s="2" t="s">
        <v>121</v>
      </c>
      <c r="W30" s="29">
        <f>W29*B2</f>
        <v>0</v>
      </c>
    </row>
    <row r="31" spans="1:22" ht="12.75">
      <c r="A31" s="6" t="s">
        <v>20</v>
      </c>
      <c r="B31" s="2">
        <v>100</v>
      </c>
      <c r="E31" s="18" t="s">
        <v>69</v>
      </c>
      <c r="F31" s="19" t="s">
        <v>70</v>
      </c>
      <c r="G31" s="46" t="s">
        <v>254</v>
      </c>
      <c r="H31" s="47">
        <f>E28/H29</f>
        <v>3.3003838224149035E-08</v>
      </c>
      <c r="J31" s="6" t="s">
        <v>121</v>
      </c>
      <c r="K31" s="71">
        <f>K28*B2</f>
        <v>0</v>
      </c>
      <c r="M31" s="8" t="s">
        <v>214</v>
      </c>
      <c r="N31" s="33">
        <f>N27/24</f>
        <v>331.6347394263929</v>
      </c>
      <c r="P31" s="6" t="s">
        <v>121</v>
      </c>
      <c r="Q31" s="33">
        <f>Q28*B2</f>
        <v>0</v>
      </c>
      <c r="S31" s="8" t="s">
        <v>214</v>
      </c>
      <c r="T31" s="33">
        <f>Q33/Q74</f>
        <v>7959.23374623343</v>
      </c>
      <c r="V31" s="1" t="s">
        <v>20</v>
      </c>
    </row>
    <row r="32" spans="1:23" ht="12.75">
      <c r="A32" s="6" t="s">
        <v>25</v>
      </c>
      <c r="B32" s="2">
        <v>50000</v>
      </c>
      <c r="E32" s="20" t="s">
        <v>278</v>
      </c>
      <c r="F32" s="20" t="s">
        <v>72</v>
      </c>
      <c r="M32" s="8" t="s">
        <v>215</v>
      </c>
      <c r="N32" s="29">
        <f>N28/24</f>
        <v>331.63473924343265</v>
      </c>
      <c r="S32" s="46" t="s">
        <v>215</v>
      </c>
      <c r="T32" s="49">
        <f>Q33/Q77</f>
        <v>7959.233741842384</v>
      </c>
      <c r="V32" s="2" t="s">
        <v>118</v>
      </c>
      <c r="W32" s="29">
        <f>W20</f>
        <v>0.0003310284973882148</v>
      </c>
    </row>
    <row r="33" spans="1:23" ht="12.75">
      <c r="A33" s="7"/>
      <c r="D33" s="2" t="s">
        <v>14</v>
      </c>
      <c r="E33" s="80">
        <v>0</v>
      </c>
      <c r="F33" s="2">
        <f>B23*E33</f>
        <v>0</v>
      </c>
      <c r="J33" s="42" t="s">
        <v>140</v>
      </c>
      <c r="K33" s="44">
        <f>K4+K9+K14+K19+K24+K29</f>
        <v>2.5957694054268905</v>
      </c>
      <c r="P33" s="46" t="s">
        <v>140</v>
      </c>
      <c r="Q33" s="48">
        <f>Q4+Q9+Q14+Q19+Q24+Q29</f>
        <v>2.5957694054268905</v>
      </c>
      <c r="T33" s="1" t="s">
        <v>219</v>
      </c>
      <c r="V33" s="2" t="s">
        <v>116</v>
      </c>
      <c r="W33" s="29">
        <f>(W32*B2)/1000</f>
        <v>2.103686100902105E-05</v>
      </c>
    </row>
    <row r="34" spans="1:23" ht="12.75">
      <c r="A34" s="10" t="s">
        <v>29</v>
      </c>
      <c r="B34" s="11" t="s">
        <v>279</v>
      </c>
      <c r="D34" s="2" t="s">
        <v>20</v>
      </c>
      <c r="E34" s="79">
        <v>1</v>
      </c>
      <c r="F34" s="2">
        <f>B25*E34</f>
        <v>10030</v>
      </c>
      <c r="J34" s="8" t="s">
        <v>251</v>
      </c>
      <c r="K34" s="30">
        <f>K5+K10+K15+K20+K25+K30</f>
        <v>0.16496114571487888</v>
      </c>
      <c r="M34" s="1" t="s">
        <v>197</v>
      </c>
      <c r="N34" s="3"/>
      <c r="P34" s="34" t="s">
        <v>252</v>
      </c>
      <c r="Q34" s="31">
        <f>Q5+Q10+Q15+Q20+Q25+Q30</f>
        <v>0.16496114571487888</v>
      </c>
      <c r="S34" s="8" t="s">
        <v>213</v>
      </c>
      <c r="T34" s="29">
        <f>T30/24</f>
        <v>601122933703.7349</v>
      </c>
      <c r="V34" s="2" t="s">
        <v>273</v>
      </c>
      <c r="W34" s="29">
        <f>W32/B25</f>
        <v>3.3003838224149035E-08</v>
      </c>
    </row>
    <row r="35" spans="1:23" ht="12.75">
      <c r="A35" s="2" t="s">
        <v>14</v>
      </c>
      <c r="B35" s="2">
        <v>1.185</v>
      </c>
      <c r="D35" s="2" t="s">
        <v>18</v>
      </c>
      <c r="E35" s="2">
        <f>(E34*B39*B43*B11)/1000</f>
        <v>1556360</v>
      </c>
      <c r="F35" s="2">
        <f>B27*E35</f>
        <v>77818000</v>
      </c>
      <c r="J35" s="42" t="s">
        <v>277</v>
      </c>
      <c r="K35" s="42">
        <f>K6*10^9</f>
        <v>0</v>
      </c>
      <c r="M35" s="9" t="s">
        <v>193</v>
      </c>
      <c r="N35" s="31">
        <f>100*(K4/K33)</f>
        <v>0</v>
      </c>
      <c r="P35" s="46" t="s">
        <v>277</v>
      </c>
      <c r="Q35" s="48">
        <f>Q6*10^9</f>
        <v>0</v>
      </c>
      <c r="S35" s="8" t="s">
        <v>214</v>
      </c>
      <c r="T35" s="33">
        <f>T31/24</f>
        <v>331.6347394263929</v>
      </c>
      <c r="V35" s="2" t="s">
        <v>121</v>
      </c>
      <c r="W35" s="29">
        <f>W34*B2</f>
        <v>2.097393919144671E-06</v>
      </c>
    </row>
    <row r="36" spans="1:22" ht="12.75">
      <c r="A36" s="2" t="s">
        <v>19</v>
      </c>
      <c r="B36" s="2">
        <v>1500</v>
      </c>
      <c r="D36" s="2" t="s">
        <v>74</v>
      </c>
      <c r="E36" s="2">
        <f>(E34*B38*B42*B11)/1000</f>
        <v>12300000</v>
      </c>
      <c r="F36" s="2">
        <f>B26*E36</f>
        <v>822501.1229999999</v>
      </c>
      <c r="J36" s="42" t="s">
        <v>143</v>
      </c>
      <c r="K36" s="44">
        <f>K11*10^6</f>
        <v>2.0973939191446713</v>
      </c>
      <c r="M36" s="9" t="s">
        <v>198</v>
      </c>
      <c r="N36" s="31">
        <f>100*(K9/K33)</f>
        <v>0.012752615725269907</v>
      </c>
      <c r="P36" s="46" t="s">
        <v>143</v>
      </c>
      <c r="Q36" s="48">
        <f>Q11*10^6</f>
        <v>2.0973939191446713</v>
      </c>
      <c r="S36" s="8" t="s">
        <v>215</v>
      </c>
      <c r="T36" s="29">
        <f>T32/24</f>
        <v>331.63473924343265</v>
      </c>
      <c r="V36" s="1" t="s">
        <v>306</v>
      </c>
    </row>
    <row r="37" spans="1:23" ht="12.75">
      <c r="A37" s="2" t="s">
        <v>20</v>
      </c>
      <c r="B37" s="2">
        <v>1000</v>
      </c>
      <c r="D37" s="2" t="s">
        <v>19</v>
      </c>
      <c r="E37" s="28">
        <f>(E33*6000000)/B53</f>
        <v>0</v>
      </c>
      <c r="F37" s="2">
        <f>B24*E37</f>
        <v>0</v>
      </c>
      <c r="J37" s="42" t="s">
        <v>144</v>
      </c>
      <c r="K37" s="42">
        <f>(K16*10^6)/B39</f>
        <v>2511</v>
      </c>
      <c r="M37" s="9" t="s">
        <v>194</v>
      </c>
      <c r="N37" s="31">
        <f>100*(K14/K33)</f>
        <v>98.94148060907813</v>
      </c>
      <c r="P37" s="46" t="s">
        <v>144</v>
      </c>
      <c r="Q37" s="48">
        <f>(Q16*10^6)/B39</f>
        <v>2511</v>
      </c>
      <c r="V37" s="2" t="s">
        <v>118</v>
      </c>
      <c r="W37" s="29">
        <f>W21</f>
        <v>0.027145694002672898</v>
      </c>
    </row>
    <row r="38" spans="1:23" ht="12.75">
      <c r="A38" s="2" t="s">
        <v>17</v>
      </c>
      <c r="B38" s="2">
        <v>1500</v>
      </c>
      <c r="D38" s="6" t="s">
        <v>282</v>
      </c>
      <c r="E38" s="81">
        <v>0</v>
      </c>
      <c r="F38" s="15">
        <f>E38*B28</f>
        <v>0</v>
      </c>
      <c r="J38" s="42" t="s">
        <v>145</v>
      </c>
      <c r="K38" s="42">
        <f>(K21*10^6)/B38</f>
        <v>17198.630136986303</v>
      </c>
      <c r="M38" s="9" t="s">
        <v>195</v>
      </c>
      <c r="N38" s="31">
        <f>100*(K19/K33)</f>
        <v>1.0457667751966058</v>
      </c>
      <c r="P38" s="46" t="s">
        <v>145</v>
      </c>
      <c r="Q38" s="48">
        <f>(Q21*10^6)/B38</f>
        <v>17198.630136986303</v>
      </c>
      <c r="S38" s="8" t="s">
        <v>318</v>
      </c>
      <c r="T38" s="30">
        <f>T3+T6+T9+T12+T15+T18</f>
        <v>5.516920427575631E-08</v>
      </c>
      <c r="V38" s="2" t="s">
        <v>116</v>
      </c>
      <c r="W38" s="2">
        <f>(W37*B2)/1000</f>
        <v>0.0017251088538698628</v>
      </c>
    </row>
    <row r="39" spans="1:23" ht="12.75">
      <c r="A39" s="2" t="s">
        <v>18</v>
      </c>
      <c r="B39" s="2">
        <v>1300</v>
      </c>
      <c r="E39" s="42" t="s">
        <v>75</v>
      </c>
      <c r="F39" s="52">
        <f>SUM(F33:F38)</f>
        <v>78650531.123</v>
      </c>
      <c r="J39" s="42" t="s">
        <v>146</v>
      </c>
      <c r="K39" s="42">
        <f>(K26*10^6)/B36</f>
        <v>0</v>
      </c>
      <c r="M39" s="9" t="s">
        <v>196</v>
      </c>
      <c r="N39" s="31">
        <f>100*(K24/K33)</f>
        <v>0</v>
      </c>
      <c r="P39" s="46" t="s">
        <v>146</v>
      </c>
      <c r="Q39" s="48">
        <f>(Q26*10^6)/B36</f>
        <v>0</v>
      </c>
      <c r="S39" s="8" t="s">
        <v>319</v>
      </c>
      <c r="T39" s="30">
        <f>T4+T7+T10+T13+T16+T19</f>
        <v>99.9999999448308</v>
      </c>
      <c r="V39" s="2" t="s">
        <v>273</v>
      </c>
      <c r="W39" s="29">
        <f>W37/B26</f>
        <v>0.40594721015703306</v>
      </c>
    </row>
    <row r="40" spans="1:23" ht="12.75">
      <c r="A40" s="53" t="s">
        <v>282</v>
      </c>
      <c r="B40" s="51">
        <v>1000</v>
      </c>
      <c r="J40" s="42" t="s">
        <v>285</v>
      </c>
      <c r="K40" s="72">
        <f>(K31*10^6)/B40</f>
        <v>0</v>
      </c>
      <c r="M40" s="9" t="s">
        <v>290</v>
      </c>
      <c r="N40" s="31">
        <f>100*(K29/K33)</f>
        <v>0</v>
      </c>
      <c r="P40" s="46" t="s">
        <v>285</v>
      </c>
      <c r="Q40" s="48">
        <f>(Q31*10^6)/B40</f>
        <v>0</v>
      </c>
      <c r="S40" s="8" t="s">
        <v>320</v>
      </c>
      <c r="T40" s="30">
        <f>SUM(T38:T39)</f>
        <v>100.00000000000001</v>
      </c>
      <c r="V40" s="2" t="s">
        <v>121</v>
      </c>
      <c r="W40" s="68">
        <f>W39*B2</f>
        <v>25.79794520547945</v>
      </c>
    </row>
    <row r="41" spans="1:22" ht="12.75">
      <c r="A41" s="10" t="s">
        <v>30</v>
      </c>
      <c r="B41" s="11" t="s">
        <v>31</v>
      </c>
      <c r="N41" s="59"/>
      <c r="V41" s="1" t="s">
        <v>305</v>
      </c>
    </row>
    <row r="42" spans="1:23" ht="12.75">
      <c r="A42" s="2" t="s">
        <v>17</v>
      </c>
      <c r="B42" s="2">
        <v>0.2</v>
      </c>
      <c r="E42" s="3"/>
      <c r="J42" s="4" t="s">
        <v>14</v>
      </c>
      <c r="P42" s="4" t="s">
        <v>14</v>
      </c>
      <c r="V42" s="2" t="s">
        <v>118</v>
      </c>
      <c r="W42" s="29">
        <f>W22</f>
        <v>0</v>
      </c>
    </row>
    <row r="43" spans="1:23" ht="12.75">
      <c r="A43" s="2" t="s">
        <v>18</v>
      </c>
      <c r="B43" s="6">
        <v>0.0292</v>
      </c>
      <c r="E43" s="3"/>
      <c r="J43" s="15" t="s">
        <v>172</v>
      </c>
      <c r="K43" s="29">
        <f>B23*K3*H3</f>
        <v>0</v>
      </c>
      <c r="P43" s="15" t="s">
        <v>172</v>
      </c>
      <c r="Q43" s="29">
        <f>B23*Q3*H3</f>
        <v>0</v>
      </c>
      <c r="V43" s="2" t="s">
        <v>116</v>
      </c>
      <c r="W43" s="2">
        <f>(W42*B2)/1000</f>
        <v>0</v>
      </c>
    </row>
    <row r="44" spans="1:23" ht="15.75">
      <c r="A44" s="15" t="s">
        <v>284</v>
      </c>
      <c r="B44" s="6">
        <f>B12*B10</f>
        <v>5000000</v>
      </c>
      <c r="E44" s="3"/>
      <c r="J44" s="15" t="s">
        <v>173</v>
      </c>
      <c r="K44" s="2">
        <f>(K43*B2)/1000</f>
        <v>0</v>
      </c>
      <c r="P44" s="15" t="s">
        <v>173</v>
      </c>
      <c r="Q44" s="2">
        <f>(Q43*B2)/1000</f>
        <v>0</v>
      </c>
      <c r="V44" s="2" t="s">
        <v>273</v>
      </c>
      <c r="W44" s="29">
        <f>W42/B24</f>
        <v>0</v>
      </c>
    </row>
    <row r="45" spans="1:23" ht="12.75">
      <c r="A45" s="1" t="s">
        <v>32</v>
      </c>
      <c r="E45" s="3"/>
      <c r="J45" s="15" t="s">
        <v>174</v>
      </c>
      <c r="K45" s="29">
        <f>E2*K3</f>
        <v>0</v>
      </c>
      <c r="P45" s="15" t="s">
        <v>174</v>
      </c>
      <c r="Q45" s="29">
        <f>E2*Q3</f>
        <v>0</v>
      </c>
      <c r="V45" s="2" t="s">
        <v>121</v>
      </c>
      <c r="W45" s="29">
        <f>W44*B2</f>
        <v>0</v>
      </c>
    </row>
    <row r="46" spans="1:23" ht="12.75">
      <c r="A46" s="2" t="s">
        <v>59</v>
      </c>
      <c r="B46" s="28">
        <f>K34/N28</f>
        <v>2.0725757160223075E-05</v>
      </c>
      <c r="E46" s="3"/>
      <c r="J46" s="15" t="s">
        <v>175</v>
      </c>
      <c r="K46" s="2">
        <f>(K45*B2)/1000</f>
        <v>0</v>
      </c>
      <c r="P46" s="15" t="s">
        <v>175</v>
      </c>
      <c r="Q46" s="2">
        <f>(Q45*B2)/1000</f>
        <v>0</v>
      </c>
      <c r="V46" s="4" t="s">
        <v>307</v>
      </c>
      <c r="W46" s="58"/>
    </row>
    <row r="47" spans="1:23" ht="12.75">
      <c r="A47" s="46" t="s">
        <v>60</v>
      </c>
      <c r="B47" s="46">
        <f>(B46*1000)/B2</f>
        <v>0.0003261330788390728</v>
      </c>
      <c r="E47" s="3"/>
      <c r="J47" s="4" t="s">
        <v>20</v>
      </c>
      <c r="P47" s="4" t="s">
        <v>20</v>
      </c>
      <c r="V47" s="6" t="s">
        <v>118</v>
      </c>
      <c r="W47" s="56">
        <f>W23</f>
        <v>0</v>
      </c>
    </row>
    <row r="48" spans="1:23" ht="12.75">
      <c r="A48" s="13" t="s">
        <v>33</v>
      </c>
      <c r="B48" s="14"/>
      <c r="J48" s="15" t="s">
        <v>172</v>
      </c>
      <c r="K48" s="29">
        <f>B25*K8*H7</f>
        <v>2.2945146964963633E-17</v>
      </c>
      <c r="P48" s="15" t="s">
        <v>172</v>
      </c>
      <c r="Q48" s="29">
        <f>B25*Q8*H7</f>
        <v>2.2945146964963633E-17</v>
      </c>
      <c r="V48" s="6" t="s">
        <v>116</v>
      </c>
      <c r="W48" s="56">
        <f>(W47*B2)/1000</f>
        <v>0</v>
      </c>
    </row>
    <row r="49" spans="1:23" ht="12.75">
      <c r="A49" s="50" t="s">
        <v>280</v>
      </c>
      <c r="B49" s="50">
        <v>0</v>
      </c>
      <c r="J49" s="15" t="s">
        <v>173</v>
      </c>
      <c r="K49" s="2">
        <f>(K48*B2)/1000</f>
        <v>1.458164089623439E-18</v>
      </c>
      <c r="P49" s="15" t="s">
        <v>173</v>
      </c>
      <c r="Q49" s="2">
        <f>(Q48*B2)/1000</f>
        <v>1.458164089623439E-18</v>
      </c>
      <c r="V49" s="6" t="s">
        <v>273</v>
      </c>
      <c r="W49" s="67">
        <f>W47/B28</f>
        <v>0</v>
      </c>
    </row>
    <row r="50" spans="1:23" ht="12.75">
      <c r="A50" s="50" t="s">
        <v>34</v>
      </c>
      <c r="B50" s="50">
        <v>0</v>
      </c>
      <c r="J50" s="15" t="s">
        <v>174</v>
      </c>
      <c r="K50" s="29">
        <f>E3*K8</f>
        <v>3.3102849738821483E-06</v>
      </c>
      <c r="P50" s="15" t="s">
        <v>174</v>
      </c>
      <c r="Q50" s="29">
        <f>E3*Q8</f>
        <v>3.3102849738821483E-06</v>
      </c>
      <c r="V50" s="6" t="s">
        <v>121</v>
      </c>
      <c r="W50" s="56">
        <f>W49*B2</f>
        <v>0</v>
      </c>
    </row>
    <row r="51" spans="10:17" ht="12.75">
      <c r="J51" s="15" t="s">
        <v>175</v>
      </c>
      <c r="K51" s="2">
        <f>(K50*B2)/1000</f>
        <v>2.103686100902105E-07</v>
      </c>
      <c r="P51" s="15" t="s">
        <v>175</v>
      </c>
      <c r="Q51" s="2">
        <f>(Q50*B2)/1000</f>
        <v>2.103686100902105E-07</v>
      </c>
    </row>
    <row r="52" spans="1:23" ht="12.75">
      <c r="A52" s="9" t="s">
        <v>223</v>
      </c>
      <c r="B52" s="57">
        <f>EXP(6.79*(1-(B8+273.15)/B4))</f>
        <v>3.434205760017632E-11</v>
      </c>
      <c r="C52" s="1"/>
      <c r="D52" s="1"/>
      <c r="J52" s="4" t="s">
        <v>18</v>
      </c>
      <c r="P52" s="4" t="s">
        <v>18</v>
      </c>
      <c r="W52" s="1" t="s">
        <v>296</v>
      </c>
    </row>
    <row r="53" spans="1:24" ht="12.75">
      <c r="A53" s="9" t="s">
        <v>224</v>
      </c>
      <c r="B53" s="28">
        <f>B7/B52</f>
        <v>29118.814360001124</v>
      </c>
      <c r="J53" s="15" t="s">
        <v>172</v>
      </c>
      <c r="K53" s="28">
        <f>B27*K13*H11</f>
        <v>1.7802048320234691E-13</v>
      </c>
      <c r="P53" s="15" t="s">
        <v>172</v>
      </c>
      <c r="Q53" s="28">
        <f>B27*Q13*H11</f>
        <v>1.7802048320234691E-13</v>
      </c>
      <c r="V53" s="65" t="s">
        <v>298</v>
      </c>
      <c r="W53" s="2">
        <f>B59</f>
        <v>2.511</v>
      </c>
      <c r="X53" s="1" t="s">
        <v>297</v>
      </c>
    </row>
    <row r="54" spans="10:23" ht="12.75">
      <c r="J54" s="15" t="s">
        <v>173</v>
      </c>
      <c r="K54" s="2">
        <f>(K53*B2)/1000</f>
        <v>1.1313201707509147E-14</v>
      </c>
      <c r="P54" s="15" t="s">
        <v>173</v>
      </c>
      <c r="Q54" s="2">
        <f>(Q53*B2)/1000</f>
        <v>1.1313201707509147E-14</v>
      </c>
      <c r="V54" s="65" t="s">
        <v>299</v>
      </c>
      <c r="W54" s="29">
        <f>W30*10^9</f>
        <v>0</v>
      </c>
    </row>
    <row r="55" spans="1:23" ht="12.75">
      <c r="A55" s="39"/>
      <c r="B55" s="3"/>
      <c r="J55" s="15" t="s">
        <v>174</v>
      </c>
      <c r="K55" s="28">
        <f>E4*K13</f>
        <v>5.1365853658536594E-05</v>
      </c>
      <c r="P55" s="15" t="s">
        <v>174</v>
      </c>
      <c r="Q55" s="28">
        <f>E4*Q13</f>
        <v>5.1365853658536594E-05</v>
      </c>
      <c r="V55" s="65" t="s">
        <v>300</v>
      </c>
      <c r="W55" s="29">
        <f>W35*10^6</f>
        <v>2.0973939191446713</v>
      </c>
    </row>
    <row r="56" spans="1:23" ht="12.75">
      <c r="A56" s="8" t="s">
        <v>308</v>
      </c>
      <c r="B56" s="28">
        <f>(B57*B2)/1000</f>
        <v>0.16496114571487888</v>
      </c>
      <c r="J56" s="15" t="s">
        <v>175</v>
      </c>
      <c r="K56" s="2">
        <f>(K55*B2)/1000</f>
        <v>3.2643000000000002E-06</v>
      </c>
      <c r="P56" s="15" t="s">
        <v>175</v>
      </c>
      <c r="Q56" s="2">
        <f>(Q55*B2)/1000</f>
        <v>3.2643000000000002E-06</v>
      </c>
      <c r="V56" s="65" t="s">
        <v>302</v>
      </c>
      <c r="W56" s="2">
        <f>(W40*10^6)/B38</f>
        <v>17198.6301369863</v>
      </c>
    </row>
    <row r="57" spans="1:23" ht="12.75">
      <c r="A57" s="42" t="s">
        <v>309</v>
      </c>
      <c r="B57" s="43">
        <v>2.5957694054268905</v>
      </c>
      <c r="C57" s="1" t="s">
        <v>315</v>
      </c>
      <c r="J57" s="4" t="s">
        <v>23</v>
      </c>
      <c r="P57" s="4" t="s">
        <v>23</v>
      </c>
      <c r="V57" s="65" t="s">
        <v>303</v>
      </c>
      <c r="W57" s="2">
        <f>(W45*10^6)/B36</f>
        <v>0</v>
      </c>
    </row>
    <row r="58" spans="3:23" ht="12.75">
      <c r="C58" s="1" t="s">
        <v>310</v>
      </c>
      <c r="J58" s="15" t="s">
        <v>172</v>
      </c>
      <c r="K58" s="29">
        <f>B26*K18*H15</f>
        <v>1.8815961262295738E-15</v>
      </c>
      <c r="P58" s="15" t="s">
        <v>172</v>
      </c>
      <c r="Q58" s="29">
        <f>B26*Q18*H15</f>
        <v>1.8815961262295738E-15</v>
      </c>
      <c r="V58" s="65" t="s">
        <v>304</v>
      </c>
      <c r="W58" s="2">
        <f>(W50*10^6)/B40</f>
        <v>0</v>
      </c>
    </row>
    <row r="59" spans="1:17" ht="12.75">
      <c r="A59" s="77" t="s">
        <v>291</v>
      </c>
      <c r="B59" s="77">
        <v>2.511</v>
      </c>
      <c r="J59" s="15" t="s">
        <v>173</v>
      </c>
      <c r="K59" s="2">
        <f>(K58*B2)/1000</f>
        <v>1.195754338218894E-16</v>
      </c>
      <c r="P59" s="15" t="s">
        <v>173</v>
      </c>
      <c r="Q59" s="2">
        <f>(Q58*B2)/1000</f>
        <v>1.195754338218894E-16</v>
      </c>
    </row>
    <row r="60" spans="1:23" ht="14.25">
      <c r="A60" s="76" t="s">
        <v>292</v>
      </c>
      <c r="B60" s="64">
        <f>(B59*0.001)/B2</f>
        <v>3.951219512195123E-05</v>
      </c>
      <c r="J60" s="15" t="s">
        <v>174</v>
      </c>
      <c r="K60" s="29">
        <f>E5*K18</f>
        <v>0.00027145694002672904</v>
      </c>
      <c r="P60" s="15" t="s">
        <v>174</v>
      </c>
      <c r="Q60" s="29">
        <f>E5*Q18</f>
        <v>0.00027145694002672904</v>
      </c>
      <c r="V60" s="69" t="s">
        <v>313</v>
      </c>
      <c r="W60" s="70">
        <f>W49/W34</f>
        <v>0</v>
      </c>
    </row>
    <row r="61" spans="1:23" ht="15">
      <c r="A61" s="76" t="s">
        <v>323</v>
      </c>
      <c r="B61" s="62">
        <f>B60*B39*B27</f>
        <v>2.5682926829268298</v>
      </c>
      <c r="J61" s="15" t="s">
        <v>175</v>
      </c>
      <c r="K61" s="2">
        <f>(K60*B2)/1000</f>
        <v>1.7251088538698628E-05</v>
      </c>
      <c r="P61" s="15" t="s">
        <v>175</v>
      </c>
      <c r="Q61" s="2">
        <f>(Q60*B2)/1000</f>
        <v>1.7251088538698628E-05</v>
      </c>
      <c r="V61" s="75" t="s">
        <v>317</v>
      </c>
      <c r="W61" s="70">
        <f>Q28/Q13</f>
        <v>0</v>
      </c>
    </row>
    <row r="62" spans="6:16" ht="12.75">
      <c r="F62" s="1"/>
      <c r="J62" s="4" t="s">
        <v>19</v>
      </c>
      <c r="P62" s="4" t="s">
        <v>19</v>
      </c>
    </row>
    <row r="63" spans="10:22" ht="12.75">
      <c r="J63" s="15" t="s">
        <v>172</v>
      </c>
      <c r="K63" s="28">
        <f>B24*K23*H19</f>
        <v>0</v>
      </c>
      <c r="P63" s="15" t="s">
        <v>172</v>
      </c>
      <c r="Q63" s="28">
        <f>B24*Q23*H19</f>
        <v>0</v>
      </c>
      <c r="V63" s="1" t="s">
        <v>325</v>
      </c>
    </row>
    <row r="64" spans="1:24" ht="12.75">
      <c r="A64" s="39"/>
      <c r="B64" s="3"/>
      <c r="J64" s="15" t="s">
        <v>173</v>
      </c>
      <c r="K64" s="2">
        <f>(K63*B2)/1000</f>
        <v>0</v>
      </c>
      <c r="P64" s="15" t="s">
        <v>173</v>
      </c>
      <c r="Q64" s="2">
        <f>(Q59*B2)/1000</f>
        <v>7.59901881938107E-18</v>
      </c>
      <c r="V64" s="1" t="s">
        <v>326</v>
      </c>
      <c r="W64">
        <f>B26*B38*1000</f>
        <v>100305.015</v>
      </c>
      <c r="X64" s="1" t="s">
        <v>329</v>
      </c>
    </row>
    <row r="65" spans="1:24" ht="12.75">
      <c r="A65" s="39"/>
      <c r="B65" s="78"/>
      <c r="J65" s="15" t="s">
        <v>174</v>
      </c>
      <c r="K65" s="28">
        <f>E6*K23</f>
        <v>0</v>
      </c>
      <c r="P65" s="15" t="s">
        <v>174</v>
      </c>
      <c r="Q65" s="28">
        <f>E6*Q23</f>
        <v>0</v>
      </c>
      <c r="V65" s="1" t="s">
        <v>327</v>
      </c>
      <c r="W65">
        <f>(W64*W56/B25)/1000</f>
        <v>171.99490068493148</v>
      </c>
      <c r="X65" s="1" t="s">
        <v>328</v>
      </c>
    </row>
    <row r="66" spans="1:17" ht="12.75">
      <c r="A66" s="39"/>
      <c r="B66" s="78"/>
      <c r="J66" s="15" t="s">
        <v>175</v>
      </c>
      <c r="K66" s="2">
        <f>(K65*B2)/1000</f>
        <v>0</v>
      </c>
      <c r="P66" s="15" t="s">
        <v>175</v>
      </c>
      <c r="Q66" s="2">
        <f>(Q65*B2)/1000</f>
        <v>0</v>
      </c>
    </row>
    <row r="67" spans="1:24" ht="12.75">
      <c r="A67" s="39"/>
      <c r="B67" s="78"/>
      <c r="J67" s="4" t="s">
        <v>282</v>
      </c>
      <c r="K67" s="58"/>
      <c r="P67" s="4" t="s">
        <v>282</v>
      </c>
      <c r="V67" t="s">
        <v>330</v>
      </c>
      <c r="W67">
        <f>W55+W65</f>
        <v>174.09229460407616</v>
      </c>
      <c r="X67" t="s">
        <v>328</v>
      </c>
    </row>
    <row r="68" spans="1:17" ht="12.75">
      <c r="A68" s="39"/>
      <c r="B68" s="78"/>
      <c r="J68" s="15" t="s">
        <v>172</v>
      </c>
      <c r="K68" s="57">
        <f>B28*K28*H23</f>
        <v>0</v>
      </c>
      <c r="P68" s="15" t="s">
        <v>172</v>
      </c>
      <c r="Q68" s="57">
        <f>B28*K28*H23</f>
        <v>0</v>
      </c>
    </row>
    <row r="69" spans="1:17" ht="12.75">
      <c r="A69" s="39"/>
      <c r="B69" s="78"/>
      <c r="J69" s="15" t="s">
        <v>173</v>
      </c>
      <c r="K69" s="6">
        <f>(K68*B2)/1000</f>
        <v>0</v>
      </c>
      <c r="P69" s="15" t="s">
        <v>173</v>
      </c>
      <c r="Q69" s="6">
        <f>(Q68*B2)/1000</f>
        <v>0</v>
      </c>
    </row>
    <row r="70" spans="10:17" ht="12.75">
      <c r="J70" s="15" t="s">
        <v>174</v>
      </c>
      <c r="K70" s="57">
        <f>E7*K28</f>
        <v>0</v>
      </c>
      <c r="P70" s="15" t="s">
        <v>174</v>
      </c>
      <c r="Q70" s="57">
        <f>E7*Q28</f>
        <v>0</v>
      </c>
    </row>
    <row r="71" spans="10:17" ht="12.75">
      <c r="J71" s="15" t="s">
        <v>175</v>
      </c>
      <c r="K71" s="6">
        <f>(K70*B2)/1000</f>
        <v>0</v>
      </c>
      <c r="P71" s="15" t="s">
        <v>175</v>
      </c>
      <c r="Q71" s="6">
        <f>(Q70*B2)/1000</f>
        <v>0</v>
      </c>
    </row>
    <row r="73" spans="10:17" ht="12.75">
      <c r="J73" s="15" t="s">
        <v>176</v>
      </c>
      <c r="K73" s="29">
        <f>K43+K48+K53+K58+K63+K68</f>
        <v>1.7992502447554144E-13</v>
      </c>
      <c r="P73" s="15" t="s">
        <v>176</v>
      </c>
      <c r="Q73" s="29">
        <f>Q43+Q48+Q53+Q58+Q63+Q68</f>
        <v>1.7992502447554144E-13</v>
      </c>
    </row>
    <row r="74" spans="10:17" ht="12.75">
      <c r="J74" s="15" t="s">
        <v>177</v>
      </c>
      <c r="K74" s="29">
        <f>K45+K50+K55+K60+K65+K70</f>
        <v>0.00032613307865914776</v>
      </c>
      <c r="P74" s="15" t="s">
        <v>177</v>
      </c>
      <c r="Q74" s="29">
        <f>Q45+Q50+Q55+Q60+Q65+Q70</f>
        <v>0.00032613307865914776</v>
      </c>
    </row>
    <row r="75" spans="10:17" ht="12.75">
      <c r="J75" s="15" t="s">
        <v>178</v>
      </c>
      <c r="K75" s="2">
        <f>K44+K49+K54+K59+K64+K69</f>
        <v>1.143423530542066E-14</v>
      </c>
      <c r="P75" s="15" t="s">
        <v>178</v>
      </c>
      <c r="Q75" s="2">
        <f>Q44+Q49+Q54+Q59+Q64+Q69</f>
        <v>1.1441834324240041E-14</v>
      </c>
    </row>
    <row r="76" spans="10:17" ht="12.75">
      <c r="J76" s="15" t="s">
        <v>288</v>
      </c>
      <c r="K76" s="2">
        <f>K46+K51+K56+K61+K66+K71</f>
        <v>2.0725757148788838E-05</v>
      </c>
      <c r="P76" s="15" t="s">
        <v>179</v>
      </c>
      <c r="Q76" s="2">
        <f>Q46+Q51+Q56+Q61+Q66+Q71</f>
        <v>2.0725757148788838E-05</v>
      </c>
    </row>
    <row r="77" spans="10:17" ht="12.75">
      <c r="J77" s="8" t="s">
        <v>183</v>
      </c>
      <c r="K77" s="32">
        <f>K73+K74</f>
        <v>0.0003261330788390728</v>
      </c>
      <c r="P77" s="8" t="s">
        <v>183</v>
      </c>
      <c r="Q77" s="32">
        <f>Q73+Q74</f>
        <v>0.0003261330788390728</v>
      </c>
    </row>
    <row r="78" spans="10:17" ht="12.75">
      <c r="J78" s="8" t="s">
        <v>186</v>
      </c>
      <c r="K78" s="8">
        <f>K75+K76</f>
        <v>2.0725757160223075E-05</v>
      </c>
      <c r="P78" s="8" t="s">
        <v>186</v>
      </c>
      <c r="Q78" s="8">
        <f>Q75+Q76</f>
        <v>2.072575716023067E-05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32">
      <selection activeCell="C75" sqref="C75"/>
    </sheetView>
  </sheetViews>
  <sheetFormatPr defaultColWidth="9.140625" defaultRowHeight="12.75"/>
  <cols>
    <col min="1" max="1" width="31.28125" style="0" bestFit="1" customWidth="1"/>
    <col min="2" max="2" width="12.421875" style="0" bestFit="1" customWidth="1"/>
    <col min="4" max="4" width="35.7109375" style="0" bestFit="1" customWidth="1"/>
    <col min="5" max="5" width="21.140625" style="0" bestFit="1" customWidth="1"/>
    <col min="7" max="7" width="28.00390625" style="0" bestFit="1" customWidth="1"/>
    <col min="8" max="8" width="18.8515625" style="0" bestFit="1" customWidth="1"/>
    <col min="10" max="10" width="32.57421875" style="0" bestFit="1" customWidth="1"/>
    <col min="11" max="11" width="20.8515625" style="0" bestFit="1" customWidth="1"/>
    <col min="13" max="13" width="38.57421875" style="0" bestFit="1" customWidth="1"/>
    <col min="14" max="14" width="13.28125" style="0" bestFit="1" customWidth="1"/>
  </cols>
  <sheetData>
    <row r="1" spans="1:14" ht="14.25">
      <c r="A1" s="9" t="s">
        <v>0</v>
      </c>
      <c r="B1" s="9" t="s">
        <v>1</v>
      </c>
      <c r="D1" s="9" t="s">
        <v>36</v>
      </c>
      <c r="E1" s="8" t="s">
        <v>37</v>
      </c>
      <c r="G1" s="17" t="s">
        <v>66</v>
      </c>
      <c r="J1" s="1" t="s">
        <v>115</v>
      </c>
      <c r="M1" s="1" t="s">
        <v>199</v>
      </c>
      <c r="N1" s="23"/>
    </row>
    <row r="2" spans="1:14" ht="12.75">
      <c r="A2" s="2" t="s">
        <v>2</v>
      </c>
      <c r="B2" s="2"/>
      <c r="D2" s="2" t="s">
        <v>14</v>
      </c>
      <c r="E2" s="2" t="s">
        <v>38</v>
      </c>
      <c r="G2" s="1" t="s">
        <v>248</v>
      </c>
      <c r="J2" s="1" t="s">
        <v>14</v>
      </c>
      <c r="M2" s="4" t="s">
        <v>14</v>
      </c>
      <c r="N2" s="3"/>
    </row>
    <row r="3" spans="1:14" ht="14.25">
      <c r="A3" s="2" t="s">
        <v>3</v>
      </c>
      <c r="B3" s="2"/>
      <c r="D3" s="2" t="s">
        <v>20</v>
      </c>
      <c r="E3" s="2" t="s">
        <v>39</v>
      </c>
      <c r="G3" s="2" t="s">
        <v>67</v>
      </c>
      <c r="H3" s="2" t="s">
        <v>68</v>
      </c>
      <c r="J3" s="2" t="s">
        <v>117</v>
      </c>
      <c r="K3" s="2" t="s">
        <v>119</v>
      </c>
      <c r="M3" s="8" t="s">
        <v>200</v>
      </c>
      <c r="N3" s="2" t="s">
        <v>202</v>
      </c>
    </row>
    <row r="4" spans="1:14" ht="12.75">
      <c r="A4" s="2" t="s">
        <v>4</v>
      </c>
      <c r="B4" s="2" t="s">
        <v>5</v>
      </c>
      <c r="D4" s="2" t="s">
        <v>18</v>
      </c>
      <c r="E4" s="2" t="s">
        <v>40</v>
      </c>
      <c r="G4" s="2" t="s">
        <v>82</v>
      </c>
      <c r="H4" s="2" t="s">
        <v>84</v>
      </c>
      <c r="J4" s="2" t="s">
        <v>118</v>
      </c>
      <c r="K4" s="2" t="s">
        <v>126</v>
      </c>
      <c r="M4" s="8" t="s">
        <v>201</v>
      </c>
      <c r="N4" s="2" t="s">
        <v>203</v>
      </c>
    </row>
    <row r="5" spans="1:14" ht="12.75">
      <c r="A5" s="2"/>
      <c r="B5" s="2"/>
      <c r="D5" s="2" t="s">
        <v>23</v>
      </c>
      <c r="E5" s="2" t="s">
        <v>41</v>
      </c>
      <c r="G5" s="2" t="s">
        <v>83</v>
      </c>
      <c r="H5" s="2" t="s">
        <v>85</v>
      </c>
      <c r="J5" s="2" t="s">
        <v>116</v>
      </c>
      <c r="K5" s="2" t="s">
        <v>120</v>
      </c>
      <c r="M5" s="4" t="s">
        <v>20</v>
      </c>
      <c r="N5" s="3"/>
    </row>
    <row r="6" spans="1:14" ht="12.75">
      <c r="A6" s="9" t="s">
        <v>238</v>
      </c>
      <c r="B6" s="2"/>
      <c r="D6" s="2" t="s">
        <v>19</v>
      </c>
      <c r="E6" s="2" t="s">
        <v>42</v>
      </c>
      <c r="G6" s="1" t="s">
        <v>20</v>
      </c>
      <c r="J6" s="2" t="s">
        <v>121</v>
      </c>
      <c r="K6" s="2" t="s">
        <v>122</v>
      </c>
      <c r="M6" s="8" t="s">
        <v>200</v>
      </c>
      <c r="N6" s="2" t="s">
        <v>204</v>
      </c>
    </row>
    <row r="7" spans="1:14" ht="12.75">
      <c r="A7" s="2" t="s">
        <v>239</v>
      </c>
      <c r="B7" s="2"/>
      <c r="G7" s="2" t="s">
        <v>67</v>
      </c>
      <c r="H7" s="2" t="s">
        <v>97</v>
      </c>
      <c r="J7" s="1" t="s">
        <v>20</v>
      </c>
      <c r="M7" s="8" t="s">
        <v>201</v>
      </c>
      <c r="N7" s="2" t="s">
        <v>205</v>
      </c>
    </row>
    <row r="8" spans="1:13" ht="14.25">
      <c r="A8" s="2"/>
      <c r="B8" s="2"/>
      <c r="D8" s="9" t="s">
        <v>45</v>
      </c>
      <c r="E8" s="9" t="s">
        <v>44</v>
      </c>
      <c r="G8" s="2" t="s">
        <v>86</v>
      </c>
      <c r="H8" s="2" t="s">
        <v>88</v>
      </c>
      <c r="J8" s="2" t="s">
        <v>117</v>
      </c>
      <c r="K8" s="2" t="s">
        <v>123</v>
      </c>
      <c r="M8" s="4" t="s">
        <v>18</v>
      </c>
    </row>
    <row r="9" spans="1:14" ht="12.75">
      <c r="A9" s="2" t="s">
        <v>8</v>
      </c>
      <c r="B9" s="2"/>
      <c r="D9" s="2" t="s">
        <v>14</v>
      </c>
      <c r="E9" s="2" t="s">
        <v>47</v>
      </c>
      <c r="G9" s="2" t="s">
        <v>87</v>
      </c>
      <c r="H9" s="2" t="s">
        <v>92</v>
      </c>
      <c r="J9" s="2" t="s">
        <v>118</v>
      </c>
      <c r="K9" s="2" t="s">
        <v>124</v>
      </c>
      <c r="M9" s="8" t="s">
        <v>200</v>
      </c>
      <c r="N9" s="2" t="s">
        <v>206</v>
      </c>
    </row>
    <row r="10" spans="1:14" ht="12.75">
      <c r="A10" s="2" t="s">
        <v>9</v>
      </c>
      <c r="B10" s="2" t="s">
        <v>10</v>
      </c>
      <c r="D10" s="2" t="s">
        <v>20</v>
      </c>
      <c r="E10" s="2" t="s">
        <v>281</v>
      </c>
      <c r="G10" s="1" t="s">
        <v>18</v>
      </c>
      <c r="J10" s="2" t="s">
        <v>116</v>
      </c>
      <c r="K10" s="2" t="s">
        <v>127</v>
      </c>
      <c r="M10" s="8" t="s">
        <v>201</v>
      </c>
      <c r="N10" s="2" t="s">
        <v>207</v>
      </c>
    </row>
    <row r="11" spans="1:13" ht="12.75">
      <c r="A11" s="2" t="s">
        <v>11</v>
      </c>
      <c r="B11" s="2" t="s">
        <v>12</v>
      </c>
      <c r="G11" s="2" t="s">
        <v>67</v>
      </c>
      <c r="H11" s="2" t="s">
        <v>98</v>
      </c>
      <c r="J11" s="2" t="s">
        <v>121</v>
      </c>
      <c r="K11" s="2" t="s">
        <v>125</v>
      </c>
      <c r="M11" s="4" t="s">
        <v>23</v>
      </c>
    </row>
    <row r="12" spans="1:14" ht="14.25">
      <c r="A12" s="3"/>
      <c r="B12" s="3"/>
      <c r="D12" s="9" t="s">
        <v>46</v>
      </c>
      <c r="E12" s="9" t="s">
        <v>43</v>
      </c>
      <c r="G12" s="2" t="s">
        <v>89</v>
      </c>
      <c r="H12" s="2" t="s">
        <v>91</v>
      </c>
      <c r="J12" s="1" t="s">
        <v>18</v>
      </c>
      <c r="M12" s="8" t="s">
        <v>200</v>
      </c>
      <c r="N12" s="2" t="s">
        <v>208</v>
      </c>
    </row>
    <row r="13" spans="1:14" ht="14.25">
      <c r="A13" s="8" t="s">
        <v>21</v>
      </c>
      <c r="B13" s="9" t="s">
        <v>22</v>
      </c>
      <c r="D13" s="2" t="s">
        <v>14</v>
      </c>
      <c r="E13" s="2" t="s">
        <v>48</v>
      </c>
      <c r="G13" s="2" t="s">
        <v>90</v>
      </c>
      <c r="H13" s="2" t="s">
        <v>93</v>
      </c>
      <c r="J13" s="2" t="s">
        <v>117</v>
      </c>
      <c r="K13" s="2" t="s">
        <v>128</v>
      </c>
      <c r="M13" s="8" t="s">
        <v>201</v>
      </c>
      <c r="N13" s="2" t="s">
        <v>209</v>
      </c>
    </row>
    <row r="14" spans="1:13" ht="12.75">
      <c r="A14" s="6" t="s">
        <v>14</v>
      </c>
      <c r="B14" s="2"/>
      <c r="D14" s="2" t="s">
        <v>20</v>
      </c>
      <c r="E14" s="2" t="s">
        <v>49</v>
      </c>
      <c r="G14" s="1" t="s">
        <v>94</v>
      </c>
      <c r="J14" s="2" t="s">
        <v>118</v>
      </c>
      <c r="K14" s="2" t="s">
        <v>129</v>
      </c>
      <c r="M14" s="4" t="s">
        <v>19</v>
      </c>
    </row>
    <row r="15" spans="1:14" ht="12.75">
      <c r="A15" s="6" t="s">
        <v>19</v>
      </c>
      <c r="B15" s="2"/>
      <c r="G15" s="2" t="s">
        <v>67</v>
      </c>
      <c r="H15" s="2" t="s">
        <v>99</v>
      </c>
      <c r="J15" s="2" t="s">
        <v>116</v>
      </c>
      <c r="K15" s="2" t="s">
        <v>130</v>
      </c>
      <c r="M15" s="8" t="s">
        <v>200</v>
      </c>
      <c r="N15" s="2" t="s">
        <v>211</v>
      </c>
    </row>
    <row r="16" spans="1:14" ht="12.75">
      <c r="A16" s="6" t="s">
        <v>20</v>
      </c>
      <c r="B16" s="2"/>
      <c r="D16" s="9" t="s">
        <v>57</v>
      </c>
      <c r="E16" s="9" t="s">
        <v>50</v>
      </c>
      <c r="G16" s="2" t="s">
        <v>95</v>
      </c>
      <c r="H16" s="2" t="s">
        <v>100</v>
      </c>
      <c r="J16" s="2" t="s">
        <v>121</v>
      </c>
      <c r="K16" s="2" t="s">
        <v>131</v>
      </c>
      <c r="M16" s="8" t="s">
        <v>201</v>
      </c>
      <c r="N16" s="2" t="s">
        <v>210</v>
      </c>
    </row>
    <row r="17" spans="1:10" ht="12.75">
      <c r="A17" s="6" t="s">
        <v>23</v>
      </c>
      <c r="B17" s="2"/>
      <c r="D17" s="2" t="s">
        <v>14</v>
      </c>
      <c r="E17" s="2" t="s">
        <v>51</v>
      </c>
      <c r="G17" s="2" t="s">
        <v>96</v>
      </c>
      <c r="H17" s="2" t="s">
        <v>101</v>
      </c>
      <c r="J17" s="1" t="s">
        <v>23</v>
      </c>
    </row>
    <row r="18" spans="1:13" ht="14.25">
      <c r="A18" s="6" t="s">
        <v>18</v>
      </c>
      <c r="B18" s="2"/>
      <c r="D18" s="2" t="s">
        <v>20</v>
      </c>
      <c r="E18" s="2" t="s">
        <v>52</v>
      </c>
      <c r="G18" s="1" t="s">
        <v>19</v>
      </c>
      <c r="J18" s="2" t="s">
        <v>117</v>
      </c>
      <c r="K18" s="2" t="s">
        <v>132</v>
      </c>
      <c r="M18" s="1" t="s">
        <v>197</v>
      </c>
    </row>
    <row r="19" spans="1:14" ht="12.75">
      <c r="A19" s="3"/>
      <c r="B19" s="3"/>
      <c r="D19" s="6" t="s">
        <v>53</v>
      </c>
      <c r="E19" s="16">
        <v>0</v>
      </c>
      <c r="G19" s="2" t="s">
        <v>67</v>
      </c>
      <c r="H19" s="2" t="s">
        <v>102</v>
      </c>
      <c r="J19" s="2" t="s">
        <v>118</v>
      </c>
      <c r="K19" s="2" t="s">
        <v>133</v>
      </c>
      <c r="M19" s="9" t="s">
        <v>193</v>
      </c>
      <c r="N19" s="2" t="s">
        <v>188</v>
      </c>
    </row>
    <row r="20" spans="1:14" ht="12.75">
      <c r="A20" s="4" t="s">
        <v>13</v>
      </c>
      <c r="B20" s="3"/>
      <c r="D20" s="6" t="s">
        <v>18</v>
      </c>
      <c r="E20" s="16">
        <v>0</v>
      </c>
      <c r="G20" s="2" t="s">
        <v>111</v>
      </c>
      <c r="H20" s="2" t="s">
        <v>103</v>
      </c>
      <c r="J20" s="2" t="s">
        <v>116</v>
      </c>
      <c r="K20" s="2" t="s">
        <v>134</v>
      </c>
      <c r="M20" s="9" t="s">
        <v>198</v>
      </c>
      <c r="N20" s="2" t="s">
        <v>189</v>
      </c>
    </row>
    <row r="21" spans="1:14" ht="12.75">
      <c r="A21" s="5"/>
      <c r="B21" s="12"/>
      <c r="G21" s="2" t="s">
        <v>112</v>
      </c>
      <c r="H21" s="2" t="s">
        <v>104</v>
      </c>
      <c r="J21" s="2" t="s">
        <v>121</v>
      </c>
      <c r="K21" s="2" t="s">
        <v>135</v>
      </c>
      <c r="M21" s="9" t="s">
        <v>194</v>
      </c>
      <c r="N21" s="2" t="s">
        <v>190</v>
      </c>
    </row>
    <row r="22" spans="1:14" ht="14.25">
      <c r="A22" s="8" t="s">
        <v>26</v>
      </c>
      <c r="B22" s="9" t="s">
        <v>27</v>
      </c>
      <c r="D22" s="9" t="s">
        <v>62</v>
      </c>
      <c r="E22" s="9" t="s">
        <v>56</v>
      </c>
      <c r="J22" s="1" t="s">
        <v>19</v>
      </c>
      <c r="M22" s="9" t="s">
        <v>195</v>
      </c>
      <c r="N22" s="2" t="s">
        <v>191</v>
      </c>
    </row>
    <row r="23" spans="1:14" ht="14.25">
      <c r="A23" s="6" t="s">
        <v>14</v>
      </c>
      <c r="B23" s="2"/>
      <c r="D23" s="2" t="s">
        <v>14</v>
      </c>
      <c r="E23" s="2" t="s">
        <v>54</v>
      </c>
      <c r="G23" s="2" t="s">
        <v>105</v>
      </c>
      <c r="H23" s="2" t="s">
        <v>108</v>
      </c>
      <c r="J23" s="2" t="s">
        <v>117</v>
      </c>
      <c r="K23" s="2" t="s">
        <v>136</v>
      </c>
      <c r="M23" s="9" t="s">
        <v>196</v>
      </c>
      <c r="N23" s="2" t="s">
        <v>192</v>
      </c>
    </row>
    <row r="24" spans="1:11" ht="12.75">
      <c r="A24" s="6" t="s">
        <v>15</v>
      </c>
      <c r="B24" s="2"/>
      <c r="D24" s="2" t="s">
        <v>20</v>
      </c>
      <c r="E24" s="2" t="s">
        <v>55</v>
      </c>
      <c r="G24" s="2" t="s">
        <v>106</v>
      </c>
      <c r="H24" s="2" t="s">
        <v>109</v>
      </c>
      <c r="J24" s="2" t="s">
        <v>118</v>
      </c>
      <c r="K24" s="2" t="s">
        <v>137</v>
      </c>
    </row>
    <row r="25" spans="1:14" ht="12.75">
      <c r="A25" s="6" t="s">
        <v>16</v>
      </c>
      <c r="B25" s="2"/>
      <c r="D25" s="6" t="s">
        <v>53</v>
      </c>
      <c r="E25" s="2">
        <v>0</v>
      </c>
      <c r="G25" s="9" t="s">
        <v>107</v>
      </c>
      <c r="H25" s="9" t="s">
        <v>110</v>
      </c>
      <c r="J25" s="2" t="s">
        <v>116</v>
      </c>
      <c r="K25" s="2" t="s">
        <v>138</v>
      </c>
      <c r="M25" s="4" t="s">
        <v>212</v>
      </c>
      <c r="N25" s="1" t="s">
        <v>22</v>
      </c>
    </row>
    <row r="26" spans="1:14" ht="12.75">
      <c r="A26" s="6" t="s">
        <v>17</v>
      </c>
      <c r="B26" s="2"/>
      <c r="D26" s="6" t="s">
        <v>18</v>
      </c>
      <c r="E26" s="2">
        <v>0</v>
      </c>
      <c r="G26" s="9" t="s">
        <v>237</v>
      </c>
      <c r="H26" s="9" t="s">
        <v>114</v>
      </c>
      <c r="J26" s="2" t="s">
        <v>121</v>
      </c>
      <c r="K26" s="2" t="s">
        <v>139</v>
      </c>
      <c r="M26" s="8" t="s">
        <v>213</v>
      </c>
      <c r="N26" s="2" t="s">
        <v>216</v>
      </c>
    </row>
    <row r="27" spans="1:14" ht="12.75">
      <c r="A27" s="6" t="s">
        <v>18</v>
      </c>
      <c r="B27" s="2"/>
      <c r="J27" s="8" t="s">
        <v>140</v>
      </c>
      <c r="K27" s="8" t="s">
        <v>141</v>
      </c>
      <c r="M27" s="8" t="s">
        <v>214</v>
      </c>
      <c r="N27" s="15" t="s">
        <v>217</v>
      </c>
    </row>
    <row r="28" spans="1:14" ht="12.75">
      <c r="A28" s="7"/>
      <c r="B28" s="3"/>
      <c r="D28" s="9" t="s">
        <v>58</v>
      </c>
      <c r="E28" s="9" t="s">
        <v>64</v>
      </c>
      <c r="M28" s="8" t="s">
        <v>215</v>
      </c>
      <c r="N28" s="2" t="s">
        <v>218</v>
      </c>
    </row>
    <row r="29" spans="1:14" ht="14.25">
      <c r="A29" s="8" t="s">
        <v>24</v>
      </c>
      <c r="B29" s="9" t="s">
        <v>22</v>
      </c>
      <c r="D29" s="9" t="s">
        <v>63</v>
      </c>
      <c r="E29" s="9" t="s">
        <v>65</v>
      </c>
      <c r="J29" s="9" t="s">
        <v>142</v>
      </c>
      <c r="K29" s="2" t="s">
        <v>147</v>
      </c>
      <c r="N29" s="1" t="s">
        <v>219</v>
      </c>
    </row>
    <row r="30" spans="1:14" ht="12.75">
      <c r="A30" s="6" t="s">
        <v>14</v>
      </c>
      <c r="B30" s="2"/>
      <c r="J30" s="9" t="s">
        <v>143</v>
      </c>
      <c r="K30" s="2" t="s">
        <v>148</v>
      </c>
      <c r="M30" s="8" t="s">
        <v>213</v>
      </c>
      <c r="N30" s="2" t="s">
        <v>220</v>
      </c>
    </row>
    <row r="31" spans="1:14" ht="12.75">
      <c r="A31" s="6" t="s">
        <v>20</v>
      </c>
      <c r="B31" s="2"/>
      <c r="E31" s="18" t="s">
        <v>69</v>
      </c>
      <c r="F31" s="19" t="s">
        <v>70</v>
      </c>
      <c r="J31" s="9" t="s">
        <v>144</v>
      </c>
      <c r="K31" s="2" t="s">
        <v>149</v>
      </c>
      <c r="M31" s="8" t="s">
        <v>214</v>
      </c>
      <c r="N31" s="15" t="s">
        <v>221</v>
      </c>
    </row>
    <row r="32" spans="1:14" ht="14.25">
      <c r="A32" s="6" t="s">
        <v>25</v>
      </c>
      <c r="B32" s="2"/>
      <c r="E32" s="20" t="s">
        <v>71</v>
      </c>
      <c r="F32" s="20" t="s">
        <v>72</v>
      </c>
      <c r="J32" s="9" t="s">
        <v>145</v>
      </c>
      <c r="K32" s="2" t="s">
        <v>150</v>
      </c>
      <c r="M32" s="8" t="s">
        <v>215</v>
      </c>
      <c r="N32" s="2" t="s">
        <v>222</v>
      </c>
    </row>
    <row r="33" spans="1:11" ht="12.75">
      <c r="A33" s="7"/>
      <c r="D33" s="2" t="s">
        <v>14</v>
      </c>
      <c r="E33" s="24">
        <v>0</v>
      </c>
      <c r="F33" s="2" t="s">
        <v>229</v>
      </c>
      <c r="J33" s="9" t="s">
        <v>146</v>
      </c>
      <c r="K33" s="2" t="s">
        <v>151</v>
      </c>
    </row>
    <row r="34" spans="1:6" ht="14.25">
      <c r="A34" s="10" t="s">
        <v>29</v>
      </c>
      <c r="B34" s="11" t="s">
        <v>28</v>
      </c>
      <c r="D34" s="2" t="s">
        <v>20</v>
      </c>
      <c r="E34" s="25">
        <v>1</v>
      </c>
      <c r="F34" s="2" t="s">
        <v>230</v>
      </c>
    </row>
    <row r="35" spans="1:10" ht="12.75">
      <c r="A35" s="2" t="s">
        <v>14</v>
      </c>
      <c r="B35" s="2"/>
      <c r="D35" s="2" t="s">
        <v>18</v>
      </c>
      <c r="E35" t="s">
        <v>231</v>
      </c>
      <c r="F35" s="2" t="s">
        <v>232</v>
      </c>
      <c r="J35" s="4" t="s">
        <v>14</v>
      </c>
    </row>
    <row r="36" spans="1:11" ht="12.75">
      <c r="A36" s="2" t="s">
        <v>19</v>
      </c>
      <c r="B36" s="2"/>
      <c r="D36" s="2" t="s">
        <v>74</v>
      </c>
      <c r="E36" s="2" t="s">
        <v>233</v>
      </c>
      <c r="F36" s="2" t="s">
        <v>234</v>
      </c>
      <c r="J36" s="15" t="s">
        <v>172</v>
      </c>
      <c r="K36" s="2" t="s">
        <v>152</v>
      </c>
    </row>
    <row r="37" spans="1:11" ht="12.75">
      <c r="A37" s="2" t="s">
        <v>20</v>
      </c>
      <c r="B37" s="2"/>
      <c r="D37" s="2" t="s">
        <v>19</v>
      </c>
      <c r="E37" s="25">
        <v>0</v>
      </c>
      <c r="F37" s="2" t="s">
        <v>235</v>
      </c>
      <c r="J37" s="15" t="s">
        <v>173</v>
      </c>
      <c r="K37" s="2" t="s">
        <v>153</v>
      </c>
    </row>
    <row r="38" spans="1:11" ht="12.75">
      <c r="A38" s="2" t="s">
        <v>17</v>
      </c>
      <c r="B38" s="2"/>
      <c r="E38" s="26" t="s">
        <v>75</v>
      </c>
      <c r="F38" s="26" t="s">
        <v>236</v>
      </c>
      <c r="J38" s="15" t="s">
        <v>174</v>
      </c>
      <c r="K38" s="2" t="s">
        <v>154</v>
      </c>
    </row>
    <row r="39" spans="1:11" ht="12.75">
      <c r="A39" s="2" t="s">
        <v>18</v>
      </c>
      <c r="B39" s="2"/>
      <c r="E39" s="27"/>
      <c r="F39" s="3"/>
      <c r="J39" s="15" t="s">
        <v>175</v>
      </c>
      <c r="K39" s="2" t="s">
        <v>155</v>
      </c>
    </row>
    <row r="40" ht="12.75">
      <c r="J40" s="4" t="s">
        <v>20</v>
      </c>
    </row>
    <row r="41" spans="1:11" ht="12.75">
      <c r="A41" s="10" t="s">
        <v>30</v>
      </c>
      <c r="B41" s="11" t="s">
        <v>31</v>
      </c>
      <c r="J41" s="15" t="s">
        <v>172</v>
      </c>
      <c r="K41" s="2" t="s">
        <v>156</v>
      </c>
    </row>
    <row r="42" spans="1:11" ht="12.75">
      <c r="A42" s="2" t="s">
        <v>17</v>
      </c>
      <c r="B42" s="2"/>
      <c r="J42" s="15" t="s">
        <v>173</v>
      </c>
      <c r="K42" s="2" t="s">
        <v>157</v>
      </c>
    </row>
    <row r="43" spans="1:11" ht="12.75">
      <c r="A43" s="2" t="s">
        <v>18</v>
      </c>
      <c r="B43" s="2"/>
      <c r="J43" s="15" t="s">
        <v>174</v>
      </c>
      <c r="K43" s="2" t="s">
        <v>158</v>
      </c>
    </row>
    <row r="44" spans="10:11" ht="12.75">
      <c r="J44" s="15" t="s">
        <v>175</v>
      </c>
      <c r="K44" s="2" t="s">
        <v>159</v>
      </c>
    </row>
    <row r="45" spans="1:10" ht="12.75">
      <c r="A45" s="1" t="s">
        <v>32</v>
      </c>
      <c r="J45" s="4" t="s">
        <v>18</v>
      </c>
    </row>
    <row r="46" spans="1:11" ht="12.75">
      <c r="A46" s="2" t="s">
        <v>59</v>
      </c>
      <c r="B46" s="2"/>
      <c r="J46" s="15" t="s">
        <v>172</v>
      </c>
      <c r="K46" s="2" t="s">
        <v>160</v>
      </c>
    </row>
    <row r="47" spans="1:11" ht="12.75">
      <c r="A47" s="2" t="s">
        <v>60</v>
      </c>
      <c r="B47" s="2" t="s">
        <v>61</v>
      </c>
      <c r="J47" s="15" t="s">
        <v>173</v>
      </c>
      <c r="K47" s="2" t="s">
        <v>161</v>
      </c>
    </row>
    <row r="48" spans="1:11" ht="12.75">
      <c r="A48" s="13" t="s">
        <v>33</v>
      </c>
      <c r="B48" s="14"/>
      <c r="J48" s="15" t="s">
        <v>174</v>
      </c>
      <c r="K48" s="2" t="s">
        <v>162</v>
      </c>
    </row>
    <row r="49" spans="1:11" ht="14.25">
      <c r="A49" s="6" t="s">
        <v>35</v>
      </c>
      <c r="B49" s="2"/>
      <c r="J49" s="15" t="s">
        <v>175</v>
      </c>
      <c r="K49" s="2" t="s">
        <v>163</v>
      </c>
    </row>
    <row r="50" spans="1:10" ht="12.75">
      <c r="A50" s="15" t="s">
        <v>34</v>
      </c>
      <c r="B50" s="2"/>
      <c r="J50" s="4" t="s">
        <v>23</v>
      </c>
    </row>
    <row r="51" spans="10:11" ht="12.75">
      <c r="J51" s="15" t="s">
        <v>172</v>
      </c>
      <c r="K51" s="2" t="s">
        <v>164</v>
      </c>
    </row>
    <row r="52" spans="10:11" ht="12.75">
      <c r="J52" s="15" t="s">
        <v>173</v>
      </c>
      <c r="K52" s="2" t="s">
        <v>165</v>
      </c>
    </row>
    <row r="53" spans="10:11" ht="12.75">
      <c r="J53" s="15" t="s">
        <v>174</v>
      </c>
      <c r="K53" s="2" t="s">
        <v>166</v>
      </c>
    </row>
    <row r="54" spans="10:11" ht="12.75">
      <c r="J54" s="15" t="s">
        <v>175</v>
      </c>
      <c r="K54" s="2" t="s">
        <v>167</v>
      </c>
    </row>
    <row r="55" ht="12.75">
      <c r="J55" s="4" t="s">
        <v>19</v>
      </c>
    </row>
    <row r="56" spans="10:11" ht="12.75">
      <c r="J56" s="15" t="s">
        <v>172</v>
      </c>
      <c r="K56" s="2" t="s">
        <v>168</v>
      </c>
    </row>
    <row r="57" spans="10:11" ht="12.75">
      <c r="J57" s="15" t="s">
        <v>173</v>
      </c>
      <c r="K57" s="2" t="s">
        <v>169</v>
      </c>
    </row>
    <row r="58" spans="10:11" ht="12.75">
      <c r="J58" s="15" t="s">
        <v>174</v>
      </c>
      <c r="K58" s="2" t="s">
        <v>171</v>
      </c>
    </row>
    <row r="59" spans="10:11" ht="12.75">
      <c r="J59" s="15" t="s">
        <v>175</v>
      </c>
      <c r="K59" s="2" t="s">
        <v>170</v>
      </c>
    </row>
    <row r="61" spans="10:11" ht="12.75">
      <c r="J61" s="15" t="s">
        <v>176</v>
      </c>
      <c r="K61" s="2" t="s">
        <v>180</v>
      </c>
    </row>
    <row r="62" spans="10:11" ht="12.75">
      <c r="J62" s="15" t="s">
        <v>177</v>
      </c>
      <c r="K62" s="2" t="s">
        <v>181</v>
      </c>
    </row>
    <row r="63" spans="10:11" ht="12.75">
      <c r="J63" s="15" t="s">
        <v>178</v>
      </c>
      <c r="K63" s="2" t="s">
        <v>182</v>
      </c>
    </row>
    <row r="64" spans="10:11" ht="12.75">
      <c r="J64" s="15" t="s">
        <v>179</v>
      </c>
      <c r="K64" s="2" t="s">
        <v>184</v>
      </c>
    </row>
    <row r="65" spans="10:11" ht="12.75">
      <c r="J65" s="8" t="s">
        <v>183</v>
      </c>
      <c r="K65" s="8" t="s">
        <v>185</v>
      </c>
    </row>
    <row r="66" spans="10:11" ht="12.75">
      <c r="J66" s="8" t="s">
        <v>186</v>
      </c>
      <c r="K66" s="8" t="s">
        <v>187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E8" sqref="E8"/>
    </sheetView>
  </sheetViews>
  <sheetFormatPr defaultColWidth="9.140625" defaultRowHeight="12.75"/>
  <cols>
    <col min="1" max="1" width="31.28125" style="0" bestFit="1" customWidth="1"/>
    <col min="2" max="2" width="17.57421875" style="0" bestFit="1" customWidth="1"/>
    <col min="4" max="4" width="35.7109375" style="0" bestFit="1" customWidth="1"/>
    <col min="5" max="5" width="21.140625" style="0" bestFit="1" customWidth="1"/>
    <col min="7" max="7" width="28.00390625" style="0" bestFit="1" customWidth="1"/>
    <col min="8" max="8" width="18.8515625" style="0" bestFit="1" customWidth="1"/>
    <col min="10" max="10" width="32.57421875" style="0" bestFit="1" customWidth="1"/>
    <col min="11" max="11" width="20.8515625" style="0" bestFit="1" customWidth="1"/>
    <col min="13" max="13" width="38.57421875" style="0" bestFit="1" customWidth="1"/>
    <col min="14" max="14" width="13.28125" style="0" bestFit="1" customWidth="1"/>
  </cols>
  <sheetData>
    <row r="1" spans="1:14" ht="14.25">
      <c r="A1" s="9" t="s">
        <v>0</v>
      </c>
      <c r="B1" s="9" t="s">
        <v>1</v>
      </c>
      <c r="D1" s="9" t="s">
        <v>36</v>
      </c>
      <c r="E1" s="8" t="s">
        <v>37</v>
      </c>
      <c r="G1" s="17" t="s">
        <v>66</v>
      </c>
      <c r="J1" s="1" t="s">
        <v>115</v>
      </c>
      <c r="M1" s="1" t="s">
        <v>199</v>
      </c>
      <c r="N1" s="23"/>
    </row>
    <row r="2" spans="1:14" ht="12.75">
      <c r="A2" s="2" t="s">
        <v>2</v>
      </c>
      <c r="B2" s="2"/>
      <c r="D2" s="2" t="s">
        <v>14</v>
      </c>
      <c r="E2" s="2" t="s">
        <v>38</v>
      </c>
      <c r="G2" s="1" t="s">
        <v>248</v>
      </c>
      <c r="J2" s="1" t="s">
        <v>14</v>
      </c>
      <c r="M2" s="4" t="s">
        <v>14</v>
      </c>
      <c r="N2" s="3"/>
    </row>
    <row r="3" spans="1:14" ht="14.25">
      <c r="A3" s="2" t="s">
        <v>3</v>
      </c>
      <c r="B3" s="2"/>
      <c r="D3" s="2" t="s">
        <v>20</v>
      </c>
      <c r="E3" s="2" t="s">
        <v>39</v>
      </c>
      <c r="G3" s="2" t="s">
        <v>67</v>
      </c>
      <c r="H3" s="2" t="s">
        <v>68</v>
      </c>
      <c r="J3" s="2" t="s">
        <v>117</v>
      </c>
      <c r="K3" s="2" t="s">
        <v>119</v>
      </c>
      <c r="M3" s="8" t="s">
        <v>200</v>
      </c>
      <c r="N3" s="2" t="s">
        <v>202</v>
      </c>
    </row>
    <row r="4" spans="1:14" ht="12.75">
      <c r="A4" s="2" t="s">
        <v>4</v>
      </c>
      <c r="B4" s="2" t="s">
        <v>5</v>
      </c>
      <c r="D4" s="2" t="s">
        <v>18</v>
      </c>
      <c r="E4" s="2" t="s">
        <v>40</v>
      </c>
      <c r="G4" s="2" t="s">
        <v>82</v>
      </c>
      <c r="H4" s="2" t="s">
        <v>84</v>
      </c>
      <c r="J4" s="2" t="s">
        <v>118</v>
      </c>
      <c r="K4" s="2" t="s">
        <v>126</v>
      </c>
      <c r="M4" s="8" t="s">
        <v>201</v>
      </c>
      <c r="N4" s="2" t="s">
        <v>203</v>
      </c>
    </row>
    <row r="5" spans="1:14" ht="12.75">
      <c r="A5" s="2"/>
      <c r="B5" s="2"/>
      <c r="D5" s="2" t="s">
        <v>23</v>
      </c>
      <c r="E5" s="2" t="s">
        <v>41</v>
      </c>
      <c r="G5" s="2" t="s">
        <v>83</v>
      </c>
      <c r="H5" s="2" t="s">
        <v>85</v>
      </c>
      <c r="J5" s="2" t="s">
        <v>116</v>
      </c>
      <c r="K5" s="2" t="s">
        <v>120</v>
      </c>
      <c r="M5" s="4" t="s">
        <v>20</v>
      </c>
      <c r="N5" s="3"/>
    </row>
    <row r="6" spans="1:14" ht="12.75">
      <c r="A6" s="9" t="s">
        <v>240</v>
      </c>
      <c r="B6" s="2"/>
      <c r="D6" s="2" t="s">
        <v>19</v>
      </c>
      <c r="E6" s="2" t="s">
        <v>42</v>
      </c>
      <c r="G6" s="1" t="s">
        <v>20</v>
      </c>
      <c r="J6" s="2" t="s">
        <v>121</v>
      </c>
      <c r="K6" s="2" t="s">
        <v>122</v>
      </c>
      <c r="M6" s="8" t="s">
        <v>200</v>
      </c>
      <c r="N6" s="2" t="s">
        <v>204</v>
      </c>
    </row>
    <row r="7" spans="1:14" ht="12.75">
      <c r="A7" s="2" t="s">
        <v>241</v>
      </c>
      <c r="B7" s="2"/>
      <c r="G7" s="2" t="s">
        <v>67</v>
      </c>
      <c r="H7" s="2" t="s">
        <v>97</v>
      </c>
      <c r="J7" s="1" t="s">
        <v>20</v>
      </c>
      <c r="M7" s="8" t="s">
        <v>201</v>
      </c>
      <c r="N7" s="2" t="s">
        <v>205</v>
      </c>
    </row>
    <row r="8" spans="1:13" ht="14.25">
      <c r="A8" s="2" t="s">
        <v>242</v>
      </c>
      <c r="B8" s="2"/>
      <c r="D8" s="9" t="s">
        <v>45</v>
      </c>
      <c r="E8" s="9" t="s">
        <v>44</v>
      </c>
      <c r="G8" s="2" t="s">
        <v>86</v>
      </c>
      <c r="H8" s="2" t="s">
        <v>88</v>
      </c>
      <c r="J8" s="2" t="s">
        <v>117</v>
      </c>
      <c r="K8" s="2" t="s">
        <v>123</v>
      </c>
      <c r="M8" s="4" t="s">
        <v>18</v>
      </c>
    </row>
    <row r="9" spans="1:14" ht="12.75">
      <c r="A9" s="2" t="s">
        <v>243</v>
      </c>
      <c r="B9" s="2"/>
      <c r="D9" s="2" t="s">
        <v>14</v>
      </c>
      <c r="E9" s="2" t="s">
        <v>47</v>
      </c>
      <c r="G9" s="2" t="s">
        <v>87</v>
      </c>
      <c r="H9" s="2" t="s">
        <v>92</v>
      </c>
      <c r="J9" s="2" t="s">
        <v>118</v>
      </c>
      <c r="K9" s="2" t="s">
        <v>124</v>
      </c>
      <c r="M9" s="8" t="s">
        <v>200</v>
      </c>
      <c r="N9" s="2" t="s">
        <v>206</v>
      </c>
    </row>
    <row r="10" spans="1:14" ht="12.75">
      <c r="A10" s="2" t="s">
        <v>244</v>
      </c>
      <c r="B10" s="2"/>
      <c r="D10" s="2" t="s">
        <v>20</v>
      </c>
      <c r="E10" s="2" t="s">
        <v>281</v>
      </c>
      <c r="G10" s="1" t="s">
        <v>18</v>
      </c>
      <c r="J10" s="2" t="s">
        <v>116</v>
      </c>
      <c r="K10" s="2" t="s">
        <v>127</v>
      </c>
      <c r="M10" s="8" t="s">
        <v>201</v>
      </c>
      <c r="N10" s="2" t="s">
        <v>207</v>
      </c>
    </row>
    <row r="11" spans="1:13" ht="12.75">
      <c r="A11" s="2"/>
      <c r="B11" s="2"/>
      <c r="G11" s="2" t="s">
        <v>67</v>
      </c>
      <c r="H11" s="2" t="s">
        <v>98</v>
      </c>
      <c r="J11" s="2" t="s">
        <v>121</v>
      </c>
      <c r="K11" s="2" t="s">
        <v>125</v>
      </c>
      <c r="M11" s="4" t="s">
        <v>23</v>
      </c>
    </row>
    <row r="12" spans="1:14" ht="14.25">
      <c r="A12" s="3"/>
      <c r="B12" s="3"/>
      <c r="D12" s="9" t="s">
        <v>46</v>
      </c>
      <c r="E12" s="9" t="s">
        <v>43</v>
      </c>
      <c r="G12" s="2" t="s">
        <v>89</v>
      </c>
      <c r="H12" s="2" t="s">
        <v>91</v>
      </c>
      <c r="J12" s="1" t="s">
        <v>18</v>
      </c>
      <c r="M12" s="8" t="s">
        <v>200</v>
      </c>
      <c r="N12" s="2" t="s">
        <v>208</v>
      </c>
    </row>
    <row r="13" spans="1:14" ht="14.25">
      <c r="A13" s="8" t="s">
        <v>21</v>
      </c>
      <c r="B13" s="9" t="s">
        <v>22</v>
      </c>
      <c r="D13" s="2" t="s">
        <v>14</v>
      </c>
      <c r="E13" s="2" t="s">
        <v>48</v>
      </c>
      <c r="G13" s="2" t="s">
        <v>90</v>
      </c>
      <c r="H13" s="2" t="s">
        <v>93</v>
      </c>
      <c r="J13" s="2" t="s">
        <v>117</v>
      </c>
      <c r="K13" s="2" t="s">
        <v>128</v>
      </c>
      <c r="M13" s="8" t="s">
        <v>201</v>
      </c>
      <c r="N13" s="2" t="s">
        <v>209</v>
      </c>
    </row>
    <row r="14" spans="1:13" ht="12.75">
      <c r="A14" s="6" t="s">
        <v>14</v>
      </c>
      <c r="B14" s="2"/>
      <c r="D14" s="2" t="s">
        <v>20</v>
      </c>
      <c r="E14" s="2" t="s">
        <v>49</v>
      </c>
      <c r="G14" s="1" t="s">
        <v>94</v>
      </c>
      <c r="J14" s="2" t="s">
        <v>118</v>
      </c>
      <c r="K14" s="2" t="s">
        <v>129</v>
      </c>
      <c r="M14" s="4" t="s">
        <v>19</v>
      </c>
    </row>
    <row r="15" spans="1:14" ht="12.75">
      <c r="A15" s="6" t="s">
        <v>19</v>
      </c>
      <c r="B15" s="2"/>
      <c r="G15" s="2" t="s">
        <v>67</v>
      </c>
      <c r="H15" s="2" t="s">
        <v>99</v>
      </c>
      <c r="J15" s="2" t="s">
        <v>116</v>
      </c>
      <c r="K15" s="2" t="s">
        <v>130</v>
      </c>
      <c r="M15" s="8" t="s">
        <v>200</v>
      </c>
      <c r="N15" s="2" t="s">
        <v>211</v>
      </c>
    </row>
    <row r="16" spans="1:14" ht="12.75">
      <c r="A16" s="6" t="s">
        <v>20</v>
      </c>
      <c r="B16" s="2"/>
      <c r="D16" s="9" t="s">
        <v>57</v>
      </c>
      <c r="E16" s="9" t="s">
        <v>50</v>
      </c>
      <c r="G16" s="2" t="s">
        <v>95</v>
      </c>
      <c r="H16" s="2" t="s">
        <v>100</v>
      </c>
      <c r="J16" s="2" t="s">
        <v>121</v>
      </c>
      <c r="K16" s="2" t="s">
        <v>131</v>
      </c>
      <c r="M16" s="8" t="s">
        <v>201</v>
      </c>
      <c r="N16" s="2" t="s">
        <v>210</v>
      </c>
    </row>
    <row r="17" spans="1:10" ht="12.75">
      <c r="A17" s="6" t="s">
        <v>23</v>
      </c>
      <c r="B17" s="2"/>
      <c r="D17" s="2" t="s">
        <v>14</v>
      </c>
      <c r="E17" s="2" t="s">
        <v>51</v>
      </c>
      <c r="G17" s="2" t="s">
        <v>96</v>
      </c>
      <c r="H17" s="2" t="s">
        <v>101</v>
      </c>
      <c r="J17" s="1" t="s">
        <v>23</v>
      </c>
    </row>
    <row r="18" spans="1:13" ht="14.25">
      <c r="A18" s="6" t="s">
        <v>18</v>
      </c>
      <c r="B18" s="2"/>
      <c r="D18" s="2" t="s">
        <v>20</v>
      </c>
      <c r="E18" s="2" t="s">
        <v>52</v>
      </c>
      <c r="G18" s="1" t="s">
        <v>19</v>
      </c>
      <c r="J18" s="2" t="s">
        <v>117</v>
      </c>
      <c r="K18" s="2" t="s">
        <v>132</v>
      </c>
      <c r="M18" s="1" t="s">
        <v>197</v>
      </c>
    </row>
    <row r="19" spans="1:14" ht="12.75">
      <c r="A19" s="3"/>
      <c r="B19" s="3"/>
      <c r="D19" s="6" t="s">
        <v>53</v>
      </c>
      <c r="E19" s="16">
        <v>0</v>
      </c>
      <c r="G19" s="2" t="s">
        <v>67</v>
      </c>
      <c r="H19" s="2" t="s">
        <v>102</v>
      </c>
      <c r="J19" s="2" t="s">
        <v>118</v>
      </c>
      <c r="K19" s="2" t="s">
        <v>133</v>
      </c>
      <c r="M19" s="9" t="s">
        <v>193</v>
      </c>
      <c r="N19" s="2" t="s">
        <v>188</v>
      </c>
    </row>
    <row r="20" spans="1:14" ht="12.75">
      <c r="A20" s="4" t="s">
        <v>13</v>
      </c>
      <c r="B20" s="3"/>
      <c r="D20" s="6" t="s">
        <v>18</v>
      </c>
      <c r="E20" s="16">
        <v>0</v>
      </c>
      <c r="G20" s="2" t="s">
        <v>111</v>
      </c>
      <c r="H20" s="2" t="s">
        <v>103</v>
      </c>
      <c r="J20" s="2" t="s">
        <v>116</v>
      </c>
      <c r="K20" s="2" t="s">
        <v>134</v>
      </c>
      <c r="M20" s="9" t="s">
        <v>198</v>
      </c>
      <c r="N20" s="2" t="s">
        <v>189</v>
      </c>
    </row>
    <row r="21" spans="1:14" ht="12.75">
      <c r="A21" s="5"/>
      <c r="B21" s="12"/>
      <c r="G21" s="2" t="s">
        <v>112</v>
      </c>
      <c r="H21" s="2" t="s">
        <v>104</v>
      </c>
      <c r="J21" s="2" t="s">
        <v>121</v>
      </c>
      <c r="K21" s="2" t="s">
        <v>135</v>
      </c>
      <c r="M21" s="9" t="s">
        <v>194</v>
      </c>
      <c r="N21" s="2" t="s">
        <v>190</v>
      </c>
    </row>
    <row r="22" spans="1:14" ht="14.25">
      <c r="A22" s="8" t="s">
        <v>26</v>
      </c>
      <c r="B22" s="9" t="s">
        <v>27</v>
      </c>
      <c r="D22" s="9" t="s">
        <v>62</v>
      </c>
      <c r="E22" s="9" t="s">
        <v>56</v>
      </c>
      <c r="J22" s="1" t="s">
        <v>19</v>
      </c>
      <c r="M22" s="9" t="s">
        <v>195</v>
      </c>
      <c r="N22" s="2" t="s">
        <v>191</v>
      </c>
    </row>
    <row r="23" spans="1:14" ht="14.25">
      <c r="A23" s="6" t="s">
        <v>14</v>
      </c>
      <c r="B23" s="2"/>
      <c r="D23" s="2" t="s">
        <v>14</v>
      </c>
      <c r="E23" s="2" t="s">
        <v>54</v>
      </c>
      <c r="G23" s="2" t="s">
        <v>105</v>
      </c>
      <c r="H23" s="2" t="s">
        <v>108</v>
      </c>
      <c r="J23" s="2" t="s">
        <v>117</v>
      </c>
      <c r="K23" s="2" t="s">
        <v>136</v>
      </c>
      <c r="M23" s="9" t="s">
        <v>196</v>
      </c>
      <c r="N23" s="2" t="s">
        <v>192</v>
      </c>
    </row>
    <row r="24" spans="1:11" ht="12.75">
      <c r="A24" s="6" t="s">
        <v>15</v>
      </c>
      <c r="B24" s="2"/>
      <c r="D24" s="2" t="s">
        <v>20</v>
      </c>
      <c r="E24" s="2" t="s">
        <v>55</v>
      </c>
      <c r="G24" s="2" t="s">
        <v>106</v>
      </c>
      <c r="H24" s="2" t="s">
        <v>109</v>
      </c>
      <c r="J24" s="2" t="s">
        <v>118</v>
      </c>
      <c r="K24" s="2" t="s">
        <v>137</v>
      </c>
    </row>
    <row r="25" spans="1:14" ht="12.75">
      <c r="A25" s="6" t="s">
        <v>16</v>
      </c>
      <c r="B25" s="2"/>
      <c r="D25" s="6" t="s">
        <v>53</v>
      </c>
      <c r="E25" s="2">
        <v>0</v>
      </c>
      <c r="G25" s="9" t="s">
        <v>107</v>
      </c>
      <c r="H25" s="9" t="s">
        <v>110</v>
      </c>
      <c r="J25" s="2" t="s">
        <v>116</v>
      </c>
      <c r="K25" s="2" t="s">
        <v>138</v>
      </c>
      <c r="M25" s="4" t="s">
        <v>212</v>
      </c>
      <c r="N25" s="1" t="s">
        <v>22</v>
      </c>
    </row>
    <row r="26" spans="1:14" ht="12.75">
      <c r="A26" s="6" t="s">
        <v>17</v>
      </c>
      <c r="B26" s="2"/>
      <c r="D26" s="6" t="s">
        <v>18</v>
      </c>
      <c r="E26" s="2">
        <v>0</v>
      </c>
      <c r="G26" s="9" t="s">
        <v>113</v>
      </c>
      <c r="H26" s="9" t="s">
        <v>114</v>
      </c>
      <c r="J26" s="2" t="s">
        <v>121</v>
      </c>
      <c r="K26" s="2" t="s">
        <v>139</v>
      </c>
      <c r="M26" s="8" t="s">
        <v>213</v>
      </c>
      <c r="N26" s="2" t="s">
        <v>216</v>
      </c>
    </row>
    <row r="27" spans="1:14" ht="12.75">
      <c r="A27" s="6" t="s">
        <v>18</v>
      </c>
      <c r="B27" s="2"/>
      <c r="J27" s="8" t="s">
        <v>140</v>
      </c>
      <c r="K27" s="8" t="s">
        <v>141</v>
      </c>
      <c r="M27" s="8" t="s">
        <v>214</v>
      </c>
      <c r="N27" s="15" t="s">
        <v>217</v>
      </c>
    </row>
    <row r="28" spans="1:14" ht="12.75">
      <c r="A28" s="7"/>
      <c r="B28" s="3"/>
      <c r="D28" s="9" t="s">
        <v>58</v>
      </c>
      <c r="E28" s="9" t="s">
        <v>64</v>
      </c>
      <c r="M28" s="8" t="s">
        <v>215</v>
      </c>
      <c r="N28" s="2" t="s">
        <v>218</v>
      </c>
    </row>
    <row r="29" spans="1:14" ht="14.25">
      <c r="A29" s="8" t="s">
        <v>24</v>
      </c>
      <c r="B29" s="9" t="s">
        <v>22</v>
      </c>
      <c r="D29" s="9" t="s">
        <v>63</v>
      </c>
      <c r="E29" s="9" t="s">
        <v>65</v>
      </c>
      <c r="J29" s="9" t="s">
        <v>142</v>
      </c>
      <c r="K29" s="2" t="s">
        <v>147</v>
      </c>
      <c r="N29" s="1" t="s">
        <v>219</v>
      </c>
    </row>
    <row r="30" spans="1:14" ht="12.75">
      <c r="A30" s="6" t="s">
        <v>14</v>
      </c>
      <c r="B30" s="2"/>
      <c r="J30" s="9" t="s">
        <v>143</v>
      </c>
      <c r="K30" s="2" t="s">
        <v>148</v>
      </c>
      <c r="M30" s="8" t="s">
        <v>213</v>
      </c>
      <c r="N30" s="2" t="s">
        <v>220</v>
      </c>
    </row>
    <row r="31" spans="1:14" ht="12.75">
      <c r="A31" s="6" t="s">
        <v>20</v>
      </c>
      <c r="B31" s="2"/>
      <c r="E31" s="18" t="s">
        <v>69</v>
      </c>
      <c r="F31" s="19" t="s">
        <v>70</v>
      </c>
      <c r="J31" s="9" t="s">
        <v>144</v>
      </c>
      <c r="K31" s="2" t="s">
        <v>149</v>
      </c>
      <c r="M31" s="8" t="s">
        <v>214</v>
      </c>
      <c r="N31" s="15" t="s">
        <v>221</v>
      </c>
    </row>
    <row r="32" spans="1:14" ht="14.25">
      <c r="A32" s="6" t="s">
        <v>25</v>
      </c>
      <c r="B32" s="2"/>
      <c r="E32" s="20" t="s">
        <v>71</v>
      </c>
      <c r="F32" s="20" t="s">
        <v>72</v>
      </c>
      <c r="J32" s="9" t="s">
        <v>145</v>
      </c>
      <c r="K32" s="2" t="s">
        <v>150</v>
      </c>
      <c r="M32" s="8" t="s">
        <v>215</v>
      </c>
      <c r="N32" s="2" t="s">
        <v>222</v>
      </c>
    </row>
    <row r="33" spans="1:11" ht="12.75">
      <c r="A33" s="7"/>
      <c r="D33" s="2" t="s">
        <v>14</v>
      </c>
      <c r="E33" s="20" t="s">
        <v>73</v>
      </c>
      <c r="F33" s="2" t="s">
        <v>77</v>
      </c>
      <c r="J33" s="9" t="s">
        <v>146</v>
      </c>
      <c r="K33" s="2" t="s">
        <v>151</v>
      </c>
    </row>
    <row r="34" spans="1:6" ht="14.25">
      <c r="A34" s="10" t="s">
        <v>29</v>
      </c>
      <c r="B34" s="11" t="s">
        <v>28</v>
      </c>
      <c r="D34" s="2" t="s">
        <v>20</v>
      </c>
      <c r="E34" s="2" t="s">
        <v>245</v>
      </c>
      <c r="F34" s="2" t="s">
        <v>80</v>
      </c>
    </row>
    <row r="35" spans="1:10" ht="12.75">
      <c r="A35" s="2" t="s">
        <v>14</v>
      </c>
      <c r="B35" s="2"/>
      <c r="D35" s="2" t="s">
        <v>18</v>
      </c>
      <c r="E35" s="2" t="s">
        <v>246</v>
      </c>
      <c r="F35" s="2" t="s">
        <v>81</v>
      </c>
      <c r="J35" s="4" t="s">
        <v>14</v>
      </c>
    </row>
    <row r="36" spans="1:11" ht="12.75">
      <c r="A36" s="2" t="s">
        <v>19</v>
      </c>
      <c r="B36" s="2"/>
      <c r="D36" s="2" t="s">
        <v>74</v>
      </c>
      <c r="E36" s="2" t="s">
        <v>247</v>
      </c>
      <c r="F36" s="2" t="s">
        <v>78</v>
      </c>
      <c r="J36" s="15" t="s">
        <v>172</v>
      </c>
      <c r="K36" s="2" t="s">
        <v>152</v>
      </c>
    </row>
    <row r="37" spans="1:11" ht="12.75">
      <c r="A37" s="2" t="s">
        <v>20</v>
      </c>
      <c r="B37" s="2"/>
      <c r="D37" s="2" t="s">
        <v>19</v>
      </c>
      <c r="E37" s="2" t="s">
        <v>225</v>
      </c>
      <c r="F37" s="2" t="s">
        <v>79</v>
      </c>
      <c r="J37" s="15" t="s">
        <v>173</v>
      </c>
      <c r="K37" s="2" t="s">
        <v>153</v>
      </c>
    </row>
    <row r="38" spans="1:11" ht="12.75">
      <c r="A38" s="2" t="s">
        <v>17</v>
      </c>
      <c r="B38" s="2"/>
      <c r="E38" s="8" t="s">
        <v>75</v>
      </c>
      <c r="F38" s="2" t="s">
        <v>76</v>
      </c>
      <c r="J38" s="15" t="s">
        <v>174</v>
      </c>
      <c r="K38" s="2" t="s">
        <v>154</v>
      </c>
    </row>
    <row r="39" spans="1:11" ht="12.75">
      <c r="A39" s="2" t="s">
        <v>18</v>
      </c>
      <c r="B39" s="2"/>
      <c r="E39" s="21"/>
      <c r="F39" s="22"/>
      <c r="J39" s="15" t="s">
        <v>175</v>
      </c>
      <c r="K39" s="2" t="s">
        <v>155</v>
      </c>
    </row>
    <row r="40" ht="12.75">
      <c r="J40" s="4" t="s">
        <v>20</v>
      </c>
    </row>
    <row r="41" spans="1:11" ht="12.75">
      <c r="A41" s="10" t="s">
        <v>30</v>
      </c>
      <c r="B41" s="11" t="s">
        <v>31</v>
      </c>
      <c r="J41" s="15" t="s">
        <v>172</v>
      </c>
      <c r="K41" s="2" t="s">
        <v>156</v>
      </c>
    </row>
    <row r="42" spans="1:11" ht="12.75">
      <c r="A42" s="2" t="s">
        <v>17</v>
      </c>
      <c r="B42" s="2"/>
      <c r="J42" s="15" t="s">
        <v>173</v>
      </c>
      <c r="K42" s="2" t="s">
        <v>157</v>
      </c>
    </row>
    <row r="43" spans="1:11" ht="12.75">
      <c r="A43" s="2" t="s">
        <v>18</v>
      </c>
      <c r="B43" s="2"/>
      <c r="J43" s="15" t="s">
        <v>174</v>
      </c>
      <c r="K43" s="2" t="s">
        <v>158</v>
      </c>
    </row>
    <row r="44" spans="10:11" ht="12.75">
      <c r="J44" s="15" t="s">
        <v>175</v>
      </c>
      <c r="K44" s="2" t="s">
        <v>159</v>
      </c>
    </row>
    <row r="45" spans="1:10" ht="12.75">
      <c r="A45" s="1" t="s">
        <v>32</v>
      </c>
      <c r="J45" s="4" t="s">
        <v>18</v>
      </c>
    </row>
    <row r="46" spans="1:11" ht="12.75">
      <c r="A46" s="2" t="s">
        <v>59</v>
      </c>
      <c r="B46" s="2"/>
      <c r="J46" s="15" t="s">
        <v>172</v>
      </c>
      <c r="K46" s="2" t="s">
        <v>160</v>
      </c>
    </row>
    <row r="47" spans="1:11" ht="12.75">
      <c r="A47" s="2" t="s">
        <v>60</v>
      </c>
      <c r="B47" s="2" t="s">
        <v>61</v>
      </c>
      <c r="J47" s="15" t="s">
        <v>173</v>
      </c>
      <c r="K47" s="2" t="s">
        <v>161</v>
      </c>
    </row>
    <row r="48" spans="1:11" ht="12.75">
      <c r="A48" s="13" t="s">
        <v>33</v>
      </c>
      <c r="B48" s="14"/>
      <c r="J48" s="15" t="s">
        <v>174</v>
      </c>
      <c r="K48" s="2" t="s">
        <v>162</v>
      </c>
    </row>
    <row r="49" spans="1:11" ht="14.25">
      <c r="A49" s="6" t="s">
        <v>35</v>
      </c>
      <c r="B49" s="2"/>
      <c r="J49" s="15" t="s">
        <v>175</v>
      </c>
      <c r="K49" s="2" t="s">
        <v>163</v>
      </c>
    </row>
    <row r="50" spans="1:10" ht="12.75">
      <c r="A50" s="15" t="s">
        <v>34</v>
      </c>
      <c r="B50" s="2"/>
      <c r="J50" s="4" t="s">
        <v>23</v>
      </c>
    </row>
    <row r="51" spans="10:11" ht="12.75">
      <c r="J51" s="15" t="s">
        <v>172</v>
      </c>
      <c r="K51" s="2" t="s">
        <v>164</v>
      </c>
    </row>
    <row r="52" spans="1:11" ht="12.75">
      <c r="A52" s="9" t="s">
        <v>223</v>
      </c>
      <c r="B52" s="2" t="s">
        <v>228</v>
      </c>
      <c r="J52" s="15" t="s">
        <v>173</v>
      </c>
      <c r="K52" s="2" t="s">
        <v>165</v>
      </c>
    </row>
    <row r="53" spans="1:11" ht="12.75">
      <c r="A53" s="9" t="s">
        <v>224</v>
      </c>
      <c r="B53" s="2" t="s">
        <v>226</v>
      </c>
      <c r="J53" s="15" t="s">
        <v>174</v>
      </c>
      <c r="K53" s="2" t="s">
        <v>166</v>
      </c>
    </row>
    <row r="54" spans="10:11" ht="12.75">
      <c r="J54" s="15" t="s">
        <v>175</v>
      </c>
      <c r="K54" s="2" t="s">
        <v>167</v>
      </c>
    </row>
    <row r="55" ht="12.75">
      <c r="J55" s="4" t="s">
        <v>19</v>
      </c>
    </row>
    <row r="56" spans="10:11" ht="12.75">
      <c r="J56" s="15" t="s">
        <v>172</v>
      </c>
      <c r="K56" s="2" t="s">
        <v>168</v>
      </c>
    </row>
    <row r="57" spans="10:11" ht="12.75">
      <c r="J57" s="15" t="s">
        <v>173</v>
      </c>
      <c r="K57" s="2" t="s">
        <v>169</v>
      </c>
    </row>
    <row r="58" spans="10:11" ht="12.75">
      <c r="J58" s="15" t="s">
        <v>174</v>
      </c>
      <c r="K58" s="2" t="s">
        <v>171</v>
      </c>
    </row>
    <row r="59" spans="10:11" ht="12.75">
      <c r="J59" s="15" t="s">
        <v>175</v>
      </c>
      <c r="K59" s="2" t="s">
        <v>170</v>
      </c>
    </row>
    <row r="61" spans="10:11" ht="12.75">
      <c r="J61" s="15" t="s">
        <v>176</v>
      </c>
      <c r="K61" s="2" t="s">
        <v>180</v>
      </c>
    </row>
    <row r="62" spans="10:11" ht="12.75">
      <c r="J62" s="15" t="s">
        <v>177</v>
      </c>
      <c r="K62" s="2" t="s">
        <v>181</v>
      </c>
    </row>
    <row r="63" spans="10:11" ht="12.75">
      <c r="J63" s="15" t="s">
        <v>178</v>
      </c>
      <c r="K63" s="2" t="s">
        <v>182</v>
      </c>
    </row>
    <row r="64" spans="10:11" ht="12.75">
      <c r="J64" s="15" t="s">
        <v>179</v>
      </c>
      <c r="K64" s="2" t="s">
        <v>184</v>
      </c>
    </row>
    <row r="65" spans="10:11" ht="12.75">
      <c r="J65" s="8" t="s">
        <v>183</v>
      </c>
      <c r="K65" s="8" t="s">
        <v>185</v>
      </c>
    </row>
    <row r="66" spans="10:11" ht="12.75">
      <c r="J66" s="8" t="s">
        <v>186</v>
      </c>
      <c r="K66" s="8" t="s">
        <v>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Aberdeen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Administrator</cp:lastModifiedBy>
  <dcterms:created xsi:type="dcterms:W3CDTF">2006-03-15T15:17:52Z</dcterms:created>
  <dcterms:modified xsi:type="dcterms:W3CDTF">2009-10-30T19:18:17Z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1353613486</vt:i4>
  </property>
  <property fmtid="{D5CDD505-2E9C-101B-9397-08002B2CF9AE}" pid="4" name="_NewReviewCyc">
    <vt:lpwstr/>
  </property>
  <property fmtid="{D5CDD505-2E9C-101B-9397-08002B2CF9AE}" pid="5" name="_EmailSubje">
    <vt:lpwstr>Level II model for copper</vt:lpwstr>
  </property>
  <property fmtid="{D5CDD505-2E9C-101B-9397-08002B2CF9AE}" pid="6" name="_AuthorEma">
    <vt:lpwstr>bill.cowie@abdn.ac.uk</vt:lpwstr>
  </property>
  <property fmtid="{D5CDD505-2E9C-101B-9397-08002B2CF9AE}" pid="7" name="_AuthorEmailDisplayNa">
    <vt:lpwstr>Cowie, W.</vt:lpwstr>
  </property>
</Properties>
</file>